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135" windowWidth="18885" windowHeight="10050" activeTab="1"/>
  </bookViews>
  <sheets>
    <sheet name="SPG2014" sheetId="1" r:id="rId1"/>
    <sheet name="Gimnazja" sheetId="2" r:id="rId2"/>
    <sheet name="SP2013-2014" sheetId="3" r:id="rId3"/>
  </sheets>
  <calcPr calcId="125725"/>
</workbook>
</file>

<file path=xl/calcChain.xml><?xml version="1.0" encoding="utf-8"?>
<calcChain xmlns="http://schemas.openxmlformats.org/spreadsheetml/2006/main">
  <c r="F109" i="2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E52" i="1"/>
  <c r="E50"/>
  <c r="E51"/>
  <c r="E49"/>
  <c r="E48"/>
  <c r="E47"/>
  <c r="E46"/>
  <c r="E45"/>
  <c r="E44"/>
  <c r="E104" i="3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F73"/>
  <c r="F72"/>
  <c r="F71"/>
  <c r="F70"/>
  <c r="F69"/>
  <c r="F68"/>
  <c r="F67"/>
  <c r="F66"/>
  <c r="C65"/>
  <c r="F65" s="1"/>
  <c r="C64"/>
  <c r="F64" s="1"/>
  <c r="F63"/>
  <c r="C63"/>
  <c r="F62"/>
  <c r="C62"/>
  <c r="F61"/>
  <c r="C61"/>
  <c r="F60"/>
  <c r="C60"/>
  <c r="F59"/>
  <c r="C59"/>
  <c r="F58"/>
  <c r="E57"/>
  <c r="D57"/>
  <c r="C57"/>
  <c r="E56"/>
  <c r="D56"/>
  <c r="C56"/>
  <c r="F56" s="1"/>
  <c r="E55"/>
  <c r="D55"/>
  <c r="C55"/>
  <c r="E54"/>
  <c r="D54"/>
  <c r="C54"/>
  <c r="F54" s="1"/>
  <c r="E53"/>
  <c r="D53"/>
  <c r="C53"/>
  <c r="E52"/>
  <c r="D52"/>
  <c r="C52"/>
  <c r="F52" s="1"/>
  <c r="E51"/>
  <c r="D51"/>
  <c r="C51"/>
  <c r="E50"/>
  <c r="D50"/>
  <c r="C50"/>
  <c r="F50" s="1"/>
  <c r="E49"/>
  <c r="D49"/>
  <c r="C49"/>
  <c r="F43"/>
  <c r="F42"/>
  <c r="F41"/>
  <c r="F40"/>
  <c r="F39"/>
  <c r="F38"/>
  <c r="C37"/>
  <c r="F37" s="1"/>
  <c r="F36"/>
  <c r="C35"/>
  <c r="F35" s="1"/>
  <c r="F34"/>
  <c r="C33"/>
  <c r="F33" s="1"/>
  <c r="F32"/>
  <c r="F31"/>
  <c r="F30"/>
  <c r="E29"/>
  <c r="D29"/>
  <c r="C29"/>
  <c r="F29" s="1"/>
  <c r="C28"/>
  <c r="F28" s="1"/>
  <c r="E27"/>
  <c r="D27"/>
  <c r="C27"/>
  <c r="E26"/>
  <c r="D26"/>
  <c r="C26"/>
  <c r="F26" s="1"/>
  <c r="D25"/>
  <c r="C25"/>
  <c r="F25" s="1"/>
  <c r="E24"/>
  <c r="D24"/>
  <c r="C24"/>
  <c r="E23"/>
  <c r="D23"/>
  <c r="C23"/>
  <c r="F23" s="1"/>
  <c r="E22"/>
  <c r="D22"/>
  <c r="C22"/>
  <c r="E21"/>
  <c r="D21"/>
  <c r="C21"/>
  <c r="F21" s="1"/>
  <c r="E20"/>
  <c r="D20"/>
  <c r="C20"/>
  <c r="E19"/>
  <c r="D19"/>
  <c r="C19"/>
  <c r="F19" s="1"/>
  <c r="G79" i="2"/>
  <c r="G78"/>
  <c r="D77"/>
  <c r="G77" s="1"/>
  <c r="G76"/>
  <c r="D76"/>
  <c r="G75"/>
  <c r="D74"/>
  <c r="G74" s="1"/>
  <c r="F73"/>
  <c r="G73" s="1"/>
  <c r="D72"/>
  <c r="G72" s="1"/>
  <c r="D71"/>
  <c r="G71" s="1"/>
  <c r="D70"/>
  <c r="E69"/>
  <c r="D69"/>
  <c r="F68"/>
  <c r="D68"/>
  <c r="D67"/>
  <c r="G67" s="1"/>
  <c r="F66"/>
  <c r="D66"/>
  <c r="G66" s="1"/>
  <c r="E65"/>
  <c r="G65" s="1"/>
  <c r="F64"/>
  <c r="D64"/>
  <c r="D63"/>
  <c r="G63" s="1"/>
  <c r="D62"/>
  <c r="G62" s="1"/>
  <c r="F61"/>
  <c r="D61"/>
  <c r="D60"/>
  <c r="G60" s="1"/>
  <c r="F59"/>
  <c r="E59"/>
  <c r="D59"/>
  <c r="F58"/>
  <c r="E58"/>
  <c r="D58"/>
  <c r="G58" s="1"/>
  <c r="G49"/>
  <c r="G48"/>
  <c r="D47"/>
  <c r="G47" s="1"/>
  <c r="D46"/>
  <c r="G46" s="1"/>
  <c r="D45"/>
  <c r="G45" s="1"/>
  <c r="G44"/>
  <c r="G43"/>
  <c r="D42"/>
  <c r="G42" s="1"/>
  <c r="D41"/>
  <c r="G41" s="1"/>
  <c r="D40"/>
  <c r="G40" s="1"/>
  <c r="F39"/>
  <c r="G39" s="1"/>
  <c r="E38"/>
  <c r="D38"/>
  <c r="G38" s="1"/>
  <c r="D37"/>
  <c r="G37" s="1"/>
  <c r="D36"/>
  <c r="G36" s="1"/>
  <c r="E35"/>
  <c r="D35"/>
  <c r="G35" s="1"/>
  <c r="F34"/>
  <c r="D34"/>
  <c r="G34" s="1"/>
  <c r="D33"/>
  <c r="G33" s="1"/>
  <c r="E32"/>
  <c r="D32"/>
  <c r="D31"/>
  <c r="G31" s="1"/>
  <c r="F30"/>
  <c r="D30"/>
  <c r="G30" s="1"/>
  <c r="F29"/>
  <c r="E29"/>
  <c r="D29"/>
  <c r="F28"/>
  <c r="E28"/>
  <c r="D28"/>
  <c r="G28" s="1"/>
  <c r="F37" i="1"/>
  <c r="F36"/>
  <c r="C35"/>
  <c r="F35" s="1"/>
  <c r="F34"/>
  <c r="C33"/>
  <c r="F33" s="1"/>
  <c r="E32"/>
  <c r="C32"/>
  <c r="F32" s="1"/>
  <c r="E31"/>
  <c r="D31"/>
  <c r="F31" s="1"/>
  <c r="E30"/>
  <c r="D30"/>
  <c r="C30"/>
  <c r="E29"/>
  <c r="D29"/>
  <c r="C29"/>
  <c r="F29" s="1"/>
  <c r="F24"/>
  <c r="F23"/>
  <c r="F22"/>
  <c r="F21"/>
  <c r="C20"/>
  <c r="F20" s="1"/>
  <c r="E19"/>
  <c r="C19"/>
  <c r="F19" s="1"/>
  <c r="E18"/>
  <c r="D18"/>
  <c r="C18"/>
  <c r="E17"/>
  <c r="D17"/>
  <c r="C17"/>
  <c r="E16"/>
  <c r="D16"/>
  <c r="C16"/>
  <c r="F17" l="1"/>
  <c r="G29" i="2"/>
  <c r="G32"/>
  <c r="G59"/>
  <c r="G61"/>
  <c r="G64"/>
  <c r="G68"/>
  <c r="G69"/>
  <c r="F20" i="3"/>
  <c r="F22"/>
  <c r="F24"/>
  <c r="F27"/>
  <c r="F49"/>
  <c r="F51"/>
  <c r="F53"/>
  <c r="F55"/>
  <c r="F57"/>
  <c r="F16" i="1"/>
  <c r="F18"/>
  <c r="F30"/>
</calcChain>
</file>

<file path=xl/sharedStrings.xml><?xml version="1.0" encoding="utf-8"?>
<sst xmlns="http://schemas.openxmlformats.org/spreadsheetml/2006/main" count="329" uniqueCount="116">
  <si>
    <t xml:space="preserve">                       SPORTOWA RYWALIZACJA </t>
  </si>
  <si>
    <t xml:space="preserve">          SZKÓŁ  ŚREDNICH  POWIATU  TATRZAŃSKIEGO</t>
  </si>
  <si>
    <t xml:space="preserve">                                         ROK  SZKOLNY  2013 / 2014</t>
  </si>
  <si>
    <t>NA KOŃCOWĄ KLASYFIKACJĘ SPORTOWEJ RYWALIZACJI SZKÓŁ ZŁOŻYŁA SIĘ SUMA</t>
  </si>
  <si>
    <t>PUNKTÓW ZA MIEJSCA UZYSKANE W ZAWODACH JESIENNYCH, ZIMOWYCH i WIOSENNYCH :</t>
  </si>
  <si>
    <t>1. LICEALIADA MŁODZIEŻY SZKOLNEJ : BIEGI PRZEŁAJOWE, MTB, LA, PŁYWANIE,</t>
  </si>
  <si>
    <t>KOSZYKÓWKA, TENIS STOŁOWY, SIATKÓWKA ,SZTAFETY  BIEGOWE,PIŁKA RĘCZNA.</t>
  </si>
  <si>
    <t>2. ZAWODY ZIMOWE : MISTRZOSTWA POWIATU W NARCIARSTWIE ZJAZD. I SNOWBOARDZIE.</t>
  </si>
  <si>
    <t xml:space="preserve">3. DNI SPORTU SZKOLNEGO : PŁYWANIE, MTB, BIEGI  PRZEŁAJOWE,PIŁKA NOŻNA, LA. </t>
  </si>
  <si>
    <t>M</t>
  </si>
  <si>
    <t xml:space="preserve">SZKOŁA     </t>
  </si>
  <si>
    <t>LICEAL.</t>
  </si>
  <si>
    <t>ZIMA</t>
  </si>
  <si>
    <t>DSS</t>
  </si>
  <si>
    <t>SUMA</t>
  </si>
  <si>
    <t>D Z I E W C Z Ę T A</t>
  </si>
  <si>
    <t>ZESPÓŁ SZKÓŁ HOTELARSKO-TURYSTYCZNYCH</t>
  </si>
  <si>
    <t>ZESPÓŁ SZKÓŁ ZAWODOWYCH NR 1</t>
  </si>
  <si>
    <t>I LICEUM OGÓLNOKSZTAŁCĄCE</t>
  </si>
  <si>
    <t>ZESPÓŁ SZKÓŁ BUDOWLANYCH</t>
  </si>
  <si>
    <t>ZSZ CECHU RZEMIOSŁ I PRZEDSIĘBIORCZOŚCI</t>
  </si>
  <si>
    <t>LICEUM REGIONALNE</t>
  </si>
  <si>
    <t>ZESPÓŁ  SZKÓŁ  PLASTYCZNYCH</t>
  </si>
  <si>
    <t>LICEUM.OG.MISTRZ.SPORTOWEGO</t>
  </si>
  <si>
    <t>SPOŁECZNE LICEUM OGÓLNOKSZTAŁCĄCE</t>
  </si>
  <si>
    <t>C H Ł O P C Y</t>
  </si>
  <si>
    <t xml:space="preserve">                       P U N K T A C J A      G E N E R A L N A</t>
  </si>
  <si>
    <t>SZKOŁA</t>
  </si>
  <si>
    <t>DZIEWCZĘTA</t>
  </si>
  <si>
    <t>CHŁOPCY</t>
  </si>
  <si>
    <t>W SPORTOWEJ RYWALIZACJI SZKÓŁ WZIĘŁO UDZIAŁ OGÓŁEM  1241  UCZNIÓW</t>
  </si>
  <si>
    <t>Z  9 SZKÓŁ ŚREDNICH.</t>
  </si>
  <si>
    <t xml:space="preserve">ORGANIZATOR </t>
  </si>
  <si>
    <t>Miejski Ośrodek Sportu i Rekreacji Zakopane</t>
  </si>
  <si>
    <t xml:space="preserve">                   SPORTOWA RYWALIZACJA </t>
  </si>
  <si>
    <t xml:space="preserve">                 GIMNAZJÓW   POWIATU  TATRZAŃSKIEGO</t>
  </si>
  <si>
    <t xml:space="preserve">              ROK  SZKOLNY  2013 / 2014</t>
  </si>
  <si>
    <t>PUNKTÓW ZA MIEJSCA UZYSKANE W ZAWODACH JESIENNYCH, ZIMOWYCH ORAZ</t>
  </si>
  <si>
    <t>WIOSENNYCH :</t>
  </si>
  <si>
    <t>1. GIMNAZJADA MŁODZIEŻY SZKOLNEJ : BIEGI PRZEŁAJOWE, MTB,  LA, PŁYWANIE,</t>
  </si>
  <si>
    <t>KOSZYKÓWKA,  TENIS STOŁOWY,  SIATKÓWKA,LETNIA  LIGA  BIEGOWA, SZTAFETY BIEG.</t>
  </si>
  <si>
    <t>PIŁKA  RĘCZNA I  NOŻNA.</t>
  </si>
  <si>
    <t>2. ZAWODY ZIMOWE : ZJAZDY,SNOWBOARD,  SZTAFETY  ŁYŻWIARSKIE I BIEGI NARCIARSKIE.</t>
  </si>
  <si>
    <t>3. DNI SPORTU SZKOLNEGO : PŁYWANIE, MTB, BIEGI PRZEŁAJ0WE, LA.</t>
  </si>
  <si>
    <t>GIMNAZJADA</t>
  </si>
  <si>
    <t>ZAW. ZIMA</t>
  </si>
  <si>
    <t>GIMNAZJUM</t>
  </si>
  <si>
    <t>NR 2 ZAKOPANE</t>
  </si>
  <si>
    <t>NR 1 ZAKOPANE</t>
  </si>
  <si>
    <t>ZSO ZAKOPANE</t>
  </si>
  <si>
    <t>BIAŁKA TATRZAŃSKA</t>
  </si>
  <si>
    <t>GIMNAZJUM  P.O.S.A.   ZAKOPANE</t>
  </si>
  <si>
    <t>MISTRZOSTWA SPORTOWEGO</t>
  </si>
  <si>
    <t>NR 3 ZAKOPANE</t>
  </si>
  <si>
    <t>BUKOWINA TATRZAŃSKA</t>
  </si>
  <si>
    <t>NR 1 BIAŁY DUNAJEC</t>
  </si>
  <si>
    <t>PORONIN</t>
  </si>
  <si>
    <t>SPOŁECZNE ZAKOPANE</t>
  </si>
  <si>
    <t>ZESPOŁU  SZKÓŁ  PLAST.</t>
  </si>
  <si>
    <t>KOŚCIELISKO</t>
  </si>
  <si>
    <t>WITÓW</t>
  </si>
  <si>
    <t>ZĄB</t>
  </si>
  <si>
    <t>DZIANISZ</t>
  </si>
  <si>
    <t>GLICZARÓW  GÓRNY</t>
  </si>
  <si>
    <t>LEŚNICA</t>
  </si>
  <si>
    <t>NOWE BYSTRE</t>
  </si>
  <si>
    <t>MURZASICHLE</t>
  </si>
  <si>
    <t>BETLEJEM ZAKOPANE</t>
  </si>
  <si>
    <t>NR 2 BIAŁY DUNAJEC</t>
  </si>
  <si>
    <t xml:space="preserve">                     P U N K T A C J A     G E N E R A L N A</t>
  </si>
  <si>
    <t>W SPORTOWEJ RYWALIZACJI GIMNAZJÓW WZIĘŁO UDZIAŁ OGÓŁEM  2 483 UCZNIÓW.</t>
  </si>
  <si>
    <t>ORGANIZATOR</t>
  </si>
  <si>
    <t>MIEJSKI OŚRODEK SPORTU I REKREACJI</t>
  </si>
  <si>
    <t xml:space="preserve">       SZKÓŁ PODSTAWOWYCH  POWIATU TATRZAŃSKIEGO</t>
  </si>
  <si>
    <t xml:space="preserve">                                  ROK    SZKOLNY   2013 / 2014</t>
  </si>
  <si>
    <t>1. IGRZYSKA MŁODZIEŻY SZKOLNEJ : BIEGI PRZEŁAJOWE, MTB, PŁYWANIE, 4 - BÓJ LA,</t>
  </si>
  <si>
    <t>MINIKOSZYKÓWKA, MINI PIŁKA NOŻNA, TENIS STOŁOWY, LETNIA LIGA BIEGOWA,SZTAFETY</t>
  </si>
  <si>
    <t>PIŁKA RĘCZNA</t>
  </si>
  <si>
    <t>2. ZAWODY ZIMOWE : SZTAFETY  ŁYŻWIARSKIE, LIGA ŁYŻWIARSKA I LIGA BIEGÓW NARCIARSKICH</t>
  </si>
  <si>
    <t>3. DNI SPORTU SZKOLNEGO : CZWÓRBÓJ LA, DWA OGNIE, PŁYWANIE,MTB,</t>
  </si>
  <si>
    <t>BIEGI  PRZEŁAJOWE.</t>
  </si>
  <si>
    <t>IMS</t>
  </si>
  <si>
    <t>SZKOŁA PODSTAWOWA NR 2 ZAKOPANE</t>
  </si>
  <si>
    <t>SZKOŁA PODSTAWOWA NR 9 ZAKOPANE</t>
  </si>
  <si>
    <t>SZKOŁA PODSTAWOWA NR 3 ZAKOPANE</t>
  </si>
  <si>
    <t>SZKOŁA PODSTAWOWA NR 1 ZAKOPANE</t>
  </si>
  <si>
    <t>SZKOŁA PODSTAWOWA NR 4 ZAKOPANE</t>
  </si>
  <si>
    <t>SZKOŁA PODSTAWOWA NR 5 ZAKOPANE</t>
  </si>
  <si>
    <t>SZKOŁA PODSTAWOWA PORONIN</t>
  </si>
  <si>
    <t>SZKOŁA PODSTAWOWA KOŚCIELISKO</t>
  </si>
  <si>
    <t>PAŃSTW.OG.SZKOŁA ARTYSTYCZNA ZAKOPANE</t>
  </si>
  <si>
    <t>SZKOŁA PODSTAWOWA NR 1 BIAŁY DUNAJEC</t>
  </si>
  <si>
    <t>KATOLICKA SZKOŁA PODSTAWOWA ZAKOPANE</t>
  </si>
  <si>
    <t>SZKOŁA PODSTAWOWA GLICZARÓW GÓRNY</t>
  </si>
  <si>
    <t>SZKOŁA PODSTAWOWA NR 2 BIAŁY DUNAJEC</t>
  </si>
  <si>
    <t>SZKOŁA  PODSTAWOWA  BIAŁKA  TATRZAŃSKA</t>
  </si>
  <si>
    <t>SZKOŁA PODSTAWOWA ZĄB</t>
  </si>
  <si>
    <t>SZKOŁA  PODSTAWOWA  WITÓW</t>
  </si>
  <si>
    <t>SZKOŁA PODSTAWOWA NOWE BYSTRE</t>
  </si>
  <si>
    <t>SZKOŁA PODSTAWOWA DZIANISZ</t>
  </si>
  <si>
    <t>SZKOŁA PODSTAWOWA MURZASICHLE</t>
  </si>
  <si>
    <t>SZKOŁA PODSTAWOWA NR 7 ZAKOPANE</t>
  </si>
  <si>
    <t>SZKOŁA  PODSTAWOWA  BUKOWINA  TATRZ.</t>
  </si>
  <si>
    <t>SZKOŁA  PODSTAWOWA  LEŚNICA</t>
  </si>
  <si>
    <t>SZKOŁA PODSTAWOWA MAŁE CICHE</t>
  </si>
  <si>
    <t>SZKOŁA PODSTAWOWA SUCHE</t>
  </si>
  <si>
    <t>SZKOŁA PODSTAWOWA STASIKÓWKA</t>
  </si>
  <si>
    <t>SZKOŁA PODSTAWOWA BIAŁKA TATRZAŃSKA</t>
  </si>
  <si>
    <t>SZKOŁA PODSTAWOWA WITÓW</t>
  </si>
  <si>
    <t>SZKOŁA  POSTAWOWA  LEŚNICA</t>
  </si>
  <si>
    <t>DZIEWCZ.</t>
  </si>
  <si>
    <t>SZKOŁA  PODSTAWOWA BUKOWINA  TATRZ.</t>
  </si>
  <si>
    <t>SZKOŁA  PODSTAWOWA LEŚNICA</t>
  </si>
  <si>
    <t>W SPORTOWEJ RYWALIZACJI SZKÓŁ WZIĘŁO UDZIAŁ OGÓŁEM  4 900  UCZNIÓW.</t>
  </si>
  <si>
    <t>O R G A N I Z A T O R</t>
  </si>
  <si>
    <t xml:space="preserve">     MIEJSKI OŚRODEK SPORTU I REKREACJI ZAKOPANE</t>
  </si>
</sst>
</file>

<file path=xl/styles.xml><?xml version="1.0" encoding="utf-8"?>
<styleSheet xmlns="http://schemas.openxmlformats.org/spreadsheetml/2006/main">
  <fonts count="14">
    <font>
      <sz val="11"/>
      <color theme="1"/>
      <name val="Czcionka tekstu podstawowego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u/>
      <sz val="11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/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right"/>
    </xf>
    <xf numFmtId="2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2" borderId="1" xfId="0" applyFill="1" applyBorder="1"/>
    <xf numFmtId="0" fontId="11" fillId="0" borderId="0" xfId="0" applyFont="1" applyAlignment="1">
      <alignment horizontal="center"/>
    </xf>
    <xf numFmtId="0" fontId="9" fillId="0" borderId="0" xfId="0" applyFont="1"/>
    <xf numFmtId="2" fontId="13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2" fontId="3" fillId="0" borderId="0" xfId="0" applyNumberFormat="1" applyFont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8"/>
  <sheetViews>
    <sheetView topLeftCell="A40" workbookViewId="0">
      <selection activeCell="B56" sqref="B56"/>
    </sheetView>
  </sheetViews>
  <sheetFormatPr defaultRowHeight="14.25"/>
  <cols>
    <col min="1" max="1" width="2.625" customWidth="1"/>
    <col min="2" max="2" width="42.25" customWidth="1"/>
    <col min="3" max="3" width="10.75" customWidth="1"/>
    <col min="4" max="4" width="9.375" customWidth="1"/>
  </cols>
  <sheetData>
    <row r="2" spans="1:6" ht="20.25">
      <c r="B2" s="1" t="s">
        <v>0</v>
      </c>
      <c r="C2" s="2"/>
      <c r="D2" s="2"/>
    </row>
    <row r="3" spans="1:6" ht="18">
      <c r="B3" s="2" t="s">
        <v>1</v>
      </c>
    </row>
    <row r="4" spans="1:6" ht="15.75">
      <c r="A4" s="3"/>
      <c r="B4" s="4" t="s">
        <v>2</v>
      </c>
      <c r="C4" s="5"/>
      <c r="D4" s="5"/>
      <c r="E4" s="5"/>
      <c r="F4" s="5"/>
    </row>
    <row r="6" spans="1:6">
      <c r="B6" t="s">
        <v>3</v>
      </c>
    </row>
    <row r="7" spans="1:6">
      <c r="A7" t="s">
        <v>4</v>
      </c>
    </row>
    <row r="8" spans="1:6">
      <c r="A8" t="s">
        <v>5</v>
      </c>
    </row>
    <row r="9" spans="1:6">
      <c r="B9" t="s">
        <v>6</v>
      </c>
    </row>
    <row r="10" spans="1:6">
      <c r="A10" t="s">
        <v>7</v>
      </c>
    </row>
    <row r="11" spans="1:6">
      <c r="A11" s="6" t="s">
        <v>8</v>
      </c>
    </row>
    <row r="12" spans="1:6">
      <c r="A12" s="7" t="s">
        <v>9</v>
      </c>
      <c r="B12" s="7" t="s">
        <v>10</v>
      </c>
      <c r="C12" s="7" t="s">
        <v>11</v>
      </c>
      <c r="D12" s="7" t="s">
        <v>12</v>
      </c>
      <c r="E12" s="7" t="s">
        <v>13</v>
      </c>
      <c r="F12" s="7" t="s">
        <v>14</v>
      </c>
    </row>
    <row r="14" spans="1:6" ht="15">
      <c r="B14" s="8" t="s">
        <v>15</v>
      </c>
    </row>
    <row r="16" spans="1:6">
      <c r="A16" s="9">
        <v>1</v>
      </c>
      <c r="B16" s="10" t="s">
        <v>16</v>
      </c>
      <c r="C16" s="11">
        <f>20+20+20+20+20+20+20+16+16</f>
        <v>172</v>
      </c>
      <c r="D16" s="11">
        <f>20+16</f>
        <v>36</v>
      </c>
      <c r="E16" s="12">
        <f>16+16+16+20</f>
        <v>68</v>
      </c>
      <c r="F16" s="11">
        <f t="shared" ref="F16:F23" si="0">SUM(C16:E16)</f>
        <v>276</v>
      </c>
    </row>
    <row r="17" spans="1:6">
      <c r="A17" s="9">
        <v>2</v>
      </c>
      <c r="B17" s="10" t="s">
        <v>17</v>
      </c>
      <c r="C17" s="11">
        <f>13+16+16+13+10+16+7+16+13</f>
        <v>120</v>
      </c>
      <c r="D17" s="11">
        <f>16+10</f>
        <v>26</v>
      </c>
      <c r="E17" s="11">
        <f>13+13+20+16</f>
        <v>62</v>
      </c>
      <c r="F17" s="11">
        <f t="shared" si="0"/>
        <v>208</v>
      </c>
    </row>
    <row r="18" spans="1:6">
      <c r="A18" s="9">
        <v>3</v>
      </c>
      <c r="B18" s="10" t="s">
        <v>18</v>
      </c>
      <c r="C18" s="11">
        <f>16+13+10+16+13+20+13+20</f>
        <v>121</v>
      </c>
      <c r="D18" s="11">
        <f>20</f>
        <v>20</v>
      </c>
      <c r="E18" s="11">
        <f>20+20+13</f>
        <v>53</v>
      </c>
      <c r="F18" s="11">
        <f t="shared" si="0"/>
        <v>194</v>
      </c>
    </row>
    <row r="19" spans="1:6">
      <c r="A19" s="13">
        <v>4</v>
      </c>
      <c r="B19" s="14" t="s">
        <v>19</v>
      </c>
      <c r="C19" s="15">
        <f>10+16+7+7+7</f>
        <v>47</v>
      </c>
      <c r="D19" s="15">
        <v>0</v>
      </c>
      <c r="E19" s="15">
        <f>10+10</f>
        <v>20</v>
      </c>
      <c r="F19" s="15">
        <f t="shared" si="0"/>
        <v>67</v>
      </c>
    </row>
    <row r="20" spans="1:6">
      <c r="A20" s="13">
        <v>5</v>
      </c>
      <c r="B20" t="s">
        <v>20</v>
      </c>
      <c r="C20" s="16">
        <f>10+13+10+10</f>
        <v>43</v>
      </c>
      <c r="D20" s="16">
        <v>0</v>
      </c>
      <c r="E20" s="16">
        <v>13</v>
      </c>
      <c r="F20" s="15">
        <f t="shared" si="0"/>
        <v>56</v>
      </c>
    </row>
    <row r="21" spans="1:6">
      <c r="A21" s="13">
        <v>6</v>
      </c>
      <c r="B21" t="s">
        <v>21</v>
      </c>
      <c r="C21" s="16">
        <v>7</v>
      </c>
      <c r="D21" s="16">
        <v>7</v>
      </c>
      <c r="E21" s="16">
        <v>10</v>
      </c>
      <c r="F21" s="17">
        <f t="shared" si="0"/>
        <v>24</v>
      </c>
    </row>
    <row r="22" spans="1:6">
      <c r="A22" s="13">
        <v>7</v>
      </c>
      <c r="B22" t="s">
        <v>22</v>
      </c>
      <c r="C22" s="15">
        <v>13</v>
      </c>
      <c r="D22" s="17">
        <v>0</v>
      </c>
      <c r="E22" s="15">
        <v>0</v>
      </c>
      <c r="F22" s="15">
        <f t="shared" si="0"/>
        <v>13</v>
      </c>
    </row>
    <row r="23" spans="1:6">
      <c r="A23" s="13">
        <v>8</v>
      </c>
      <c r="B23" t="s">
        <v>23</v>
      </c>
      <c r="C23" s="17">
        <v>0</v>
      </c>
      <c r="D23" s="17">
        <v>0</v>
      </c>
      <c r="E23" s="15">
        <v>0</v>
      </c>
      <c r="F23" s="15">
        <f t="shared" si="0"/>
        <v>0</v>
      </c>
    </row>
    <row r="24" spans="1:6">
      <c r="A24" s="18">
        <v>8</v>
      </c>
      <c r="B24" s="5" t="s">
        <v>24</v>
      </c>
      <c r="C24" s="19">
        <v>0</v>
      </c>
      <c r="D24" s="19">
        <v>0</v>
      </c>
      <c r="E24" s="19">
        <v>0</v>
      </c>
      <c r="F24" s="17">
        <f>SUM(C24:E24)</f>
        <v>0</v>
      </c>
    </row>
    <row r="25" spans="1:6">
      <c r="A25" s="18"/>
    </row>
    <row r="26" spans="1:6">
      <c r="A26" s="18"/>
    </row>
    <row r="27" spans="1:6" ht="15">
      <c r="B27" s="20" t="s">
        <v>25</v>
      </c>
    </row>
    <row r="29" spans="1:6">
      <c r="A29" s="9">
        <v>1</v>
      </c>
      <c r="B29" s="10" t="s">
        <v>16</v>
      </c>
      <c r="C29" s="11">
        <f>20+10+20+16+20+7+16+16+16</f>
        <v>141</v>
      </c>
      <c r="D29" s="11">
        <f>16+10</f>
        <v>26</v>
      </c>
      <c r="E29" s="11">
        <f>10+16+20+16+16</f>
        <v>78</v>
      </c>
      <c r="F29" s="11">
        <f t="shared" ref="F29:F37" si="1">SUM(C29:E29)</f>
        <v>245</v>
      </c>
    </row>
    <row r="30" spans="1:6">
      <c r="A30" s="9">
        <v>2</v>
      </c>
      <c r="B30" s="10" t="s">
        <v>19</v>
      </c>
      <c r="C30" s="11">
        <f>10+16+20+16+10+7+13+20</f>
        <v>112</v>
      </c>
      <c r="D30">
        <f>20+20</f>
        <v>40</v>
      </c>
      <c r="E30" s="11">
        <f>20+10+10+20+20</f>
        <v>80</v>
      </c>
      <c r="F30" s="11">
        <f t="shared" si="1"/>
        <v>232</v>
      </c>
    </row>
    <row r="31" spans="1:6">
      <c r="A31" s="9">
        <v>3</v>
      </c>
      <c r="B31" s="10" t="s">
        <v>17</v>
      </c>
      <c r="C31" s="11">
        <v>115</v>
      </c>
      <c r="D31" s="10">
        <f>13+16</f>
        <v>29</v>
      </c>
      <c r="E31" s="11">
        <f>16+13+13+13+10</f>
        <v>65</v>
      </c>
      <c r="F31" s="11">
        <f t="shared" si="1"/>
        <v>209</v>
      </c>
    </row>
    <row r="32" spans="1:6">
      <c r="A32" s="18">
        <v>4</v>
      </c>
      <c r="B32" s="14" t="s">
        <v>18</v>
      </c>
      <c r="C32" s="15">
        <f>16+20+13+7+13+20+20+13</f>
        <v>122</v>
      </c>
      <c r="D32" s="15">
        <v>7</v>
      </c>
      <c r="E32" s="14">
        <f>13+20+10+13</f>
        <v>56</v>
      </c>
      <c r="F32" s="15">
        <f t="shared" si="1"/>
        <v>185</v>
      </c>
    </row>
    <row r="33" spans="1:6">
      <c r="A33" s="18">
        <v>5</v>
      </c>
      <c r="B33" t="s">
        <v>20</v>
      </c>
      <c r="C33" s="17">
        <f>6+16+6+20+13+7</f>
        <v>68</v>
      </c>
      <c r="D33" s="17">
        <v>0</v>
      </c>
      <c r="E33" s="15">
        <v>10</v>
      </c>
      <c r="F33" s="15">
        <f t="shared" si="1"/>
        <v>78</v>
      </c>
    </row>
    <row r="34" spans="1:6">
      <c r="A34" s="18">
        <v>6</v>
      </c>
      <c r="B34" t="s">
        <v>21</v>
      </c>
      <c r="C34" s="15">
        <v>0</v>
      </c>
      <c r="D34" s="17">
        <v>13</v>
      </c>
      <c r="E34" s="15">
        <v>16</v>
      </c>
      <c r="F34" s="15">
        <f t="shared" si="1"/>
        <v>29</v>
      </c>
    </row>
    <row r="35" spans="1:6">
      <c r="A35" s="18">
        <v>7</v>
      </c>
      <c r="B35" s="5" t="s">
        <v>24</v>
      </c>
      <c r="C35" s="15">
        <f>7+10</f>
        <v>17</v>
      </c>
      <c r="D35" s="15">
        <v>0</v>
      </c>
      <c r="E35" s="17">
        <v>0</v>
      </c>
      <c r="F35" s="15">
        <f t="shared" si="1"/>
        <v>17</v>
      </c>
    </row>
    <row r="36" spans="1:6">
      <c r="A36" s="18">
        <v>8</v>
      </c>
      <c r="B36" t="s">
        <v>23</v>
      </c>
      <c r="C36" s="17">
        <v>7</v>
      </c>
      <c r="D36" s="17">
        <v>0</v>
      </c>
      <c r="E36" s="15">
        <v>0</v>
      </c>
      <c r="F36" s="15">
        <f t="shared" si="1"/>
        <v>7</v>
      </c>
    </row>
    <row r="37" spans="1:6">
      <c r="A37" s="18">
        <v>9</v>
      </c>
      <c r="B37" t="s">
        <v>22</v>
      </c>
      <c r="C37" s="15">
        <v>0</v>
      </c>
      <c r="D37" s="17">
        <v>0</v>
      </c>
      <c r="E37" s="15">
        <v>0</v>
      </c>
      <c r="F37" s="15">
        <f t="shared" si="1"/>
        <v>0</v>
      </c>
    </row>
    <row r="38" spans="1:6">
      <c r="A38" s="18"/>
      <c r="C38" s="17"/>
      <c r="D38" s="17"/>
      <c r="E38" s="17"/>
      <c r="F38" s="17"/>
    </row>
    <row r="39" spans="1:6">
      <c r="A39" s="18"/>
      <c r="C39" s="17"/>
      <c r="D39" s="17"/>
      <c r="E39" s="17"/>
      <c r="F39" s="17"/>
    </row>
    <row r="40" spans="1:6" ht="18">
      <c r="B40" s="2" t="s">
        <v>26</v>
      </c>
    </row>
    <row r="42" spans="1:6">
      <c r="A42" s="21" t="s">
        <v>9</v>
      </c>
      <c r="B42" s="21" t="s">
        <v>27</v>
      </c>
      <c r="C42" s="21" t="s">
        <v>28</v>
      </c>
      <c r="D42" s="21" t="s">
        <v>29</v>
      </c>
      <c r="E42" s="21" t="s">
        <v>14</v>
      </c>
    </row>
    <row r="43" spans="1:6">
      <c r="A43" s="18"/>
      <c r="B43" s="3"/>
      <c r="C43" s="3"/>
      <c r="D43" s="3"/>
      <c r="E43" s="3"/>
    </row>
    <row r="44" spans="1:6">
      <c r="A44" s="22">
        <v>1</v>
      </c>
      <c r="B44" s="10" t="s">
        <v>16</v>
      </c>
      <c r="C44" s="11">
        <v>276</v>
      </c>
      <c r="D44" s="23">
        <v>245</v>
      </c>
      <c r="E44" s="23">
        <f>SUM(C44:D44)</f>
        <v>521</v>
      </c>
    </row>
    <row r="45" spans="1:6">
      <c r="A45" s="22">
        <v>2</v>
      </c>
      <c r="B45" s="10" t="s">
        <v>17</v>
      </c>
      <c r="C45" s="24">
        <v>208</v>
      </c>
      <c r="D45" s="24">
        <v>209</v>
      </c>
      <c r="E45" s="23">
        <f t="shared" ref="E45:E52" si="2">SUM(C45:D45)</f>
        <v>417</v>
      </c>
    </row>
    <row r="46" spans="1:6">
      <c r="A46" s="22">
        <v>3</v>
      </c>
      <c r="B46" s="10" t="s">
        <v>18</v>
      </c>
      <c r="C46" s="23">
        <v>194</v>
      </c>
      <c r="D46" s="23">
        <v>185</v>
      </c>
      <c r="E46" s="23">
        <f t="shared" si="2"/>
        <v>379</v>
      </c>
    </row>
    <row r="47" spans="1:6">
      <c r="A47" s="18">
        <v>4</v>
      </c>
      <c r="B47" s="14" t="s">
        <v>19</v>
      </c>
      <c r="C47" s="25">
        <v>67</v>
      </c>
      <c r="D47" s="25">
        <v>232</v>
      </c>
      <c r="E47" s="23">
        <f t="shared" si="2"/>
        <v>299</v>
      </c>
    </row>
    <row r="48" spans="1:6">
      <c r="A48" s="18">
        <v>5</v>
      </c>
      <c r="B48" t="s">
        <v>20</v>
      </c>
      <c r="C48" s="16">
        <v>56</v>
      </c>
      <c r="D48" s="26">
        <v>78</v>
      </c>
      <c r="E48" s="23">
        <f t="shared" si="2"/>
        <v>134</v>
      </c>
    </row>
    <row r="49" spans="1:6">
      <c r="A49" s="18">
        <v>6</v>
      </c>
      <c r="B49" t="s">
        <v>21</v>
      </c>
      <c r="C49" s="16">
        <v>24</v>
      </c>
      <c r="D49" s="26">
        <v>29</v>
      </c>
      <c r="E49" s="23">
        <f t="shared" si="2"/>
        <v>53</v>
      </c>
    </row>
    <row r="50" spans="1:6">
      <c r="A50" s="18">
        <v>7</v>
      </c>
      <c r="B50" s="5" t="s">
        <v>24</v>
      </c>
      <c r="C50" s="16">
        <v>0</v>
      </c>
      <c r="D50" s="26">
        <v>17</v>
      </c>
      <c r="E50" s="23">
        <f>SUM(C50:D50)</f>
        <v>17</v>
      </c>
    </row>
    <row r="51" spans="1:6">
      <c r="A51" s="18">
        <v>8</v>
      </c>
      <c r="B51" t="s">
        <v>22</v>
      </c>
      <c r="C51" s="16">
        <v>13</v>
      </c>
      <c r="D51" s="26">
        <v>0</v>
      </c>
      <c r="E51" s="23">
        <f>SUM(C51:D51)</f>
        <v>13</v>
      </c>
    </row>
    <row r="52" spans="1:6">
      <c r="A52" s="18">
        <v>9</v>
      </c>
      <c r="B52" t="s">
        <v>23</v>
      </c>
      <c r="C52" s="26">
        <v>0</v>
      </c>
      <c r="D52" s="26">
        <v>7</v>
      </c>
      <c r="E52" s="23">
        <f t="shared" si="2"/>
        <v>7</v>
      </c>
    </row>
    <row r="53" spans="1:6">
      <c r="A53" s="18"/>
      <c r="C53" s="16"/>
      <c r="D53" s="16"/>
      <c r="F53" s="27"/>
    </row>
    <row r="54" spans="1:6">
      <c r="A54" s="18"/>
    </row>
    <row r="55" spans="1:6">
      <c r="B55" s="14" t="s">
        <v>30</v>
      </c>
    </row>
    <row r="56" spans="1:6">
      <c r="B56" s="14" t="s">
        <v>31</v>
      </c>
      <c r="E56" s="28"/>
    </row>
    <row r="57" spans="1:6">
      <c r="D57" s="13" t="s">
        <v>32</v>
      </c>
    </row>
    <row r="58" spans="1:6">
      <c r="C58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14"/>
  <sheetViews>
    <sheetView tabSelected="1" topLeftCell="A96" workbookViewId="0">
      <selection activeCell="B111" sqref="B111"/>
    </sheetView>
  </sheetViews>
  <sheetFormatPr defaultRowHeight="14.25"/>
  <cols>
    <col min="1" max="1" width="3.25" customWidth="1"/>
    <col min="2" max="2" width="11.625" customWidth="1"/>
    <col min="3" max="3" width="25.875" customWidth="1"/>
    <col min="4" max="4" width="10.875" customWidth="1"/>
  </cols>
  <sheetData>
    <row r="2" spans="1:7" ht="20.25">
      <c r="B2" s="1" t="s">
        <v>34</v>
      </c>
      <c r="C2" s="2"/>
      <c r="D2" s="2"/>
    </row>
    <row r="4" spans="1:7" ht="18">
      <c r="A4" s="2" t="s">
        <v>35</v>
      </c>
      <c r="B4" s="5"/>
      <c r="C4" s="5"/>
      <c r="D4" s="5"/>
      <c r="E4" s="5"/>
      <c r="F4" s="5"/>
      <c r="G4" s="5"/>
    </row>
    <row r="6" spans="1:7" ht="15.75">
      <c r="C6" s="4" t="s">
        <v>36</v>
      </c>
    </row>
    <row r="10" spans="1:7">
      <c r="B10" t="s">
        <v>3</v>
      </c>
    </row>
    <row r="11" spans="1:7">
      <c r="B11" t="s">
        <v>37</v>
      </c>
    </row>
    <row r="12" spans="1:7">
      <c r="B12" t="s">
        <v>38</v>
      </c>
    </row>
    <row r="14" spans="1:7">
      <c r="A14" t="s">
        <v>39</v>
      </c>
    </row>
    <row r="15" spans="1:7">
      <c r="B15" t="s">
        <v>40</v>
      </c>
    </row>
    <row r="16" spans="1:7">
      <c r="B16" t="s">
        <v>41</v>
      </c>
    </row>
    <row r="18" spans="1:7">
      <c r="A18" t="s">
        <v>42</v>
      </c>
    </row>
    <row r="20" spans="1:7">
      <c r="A20" s="14" t="s">
        <v>43</v>
      </c>
    </row>
    <row r="22" spans="1:7" ht="15">
      <c r="B22" s="20" t="s">
        <v>28</v>
      </c>
    </row>
    <row r="24" spans="1:7">
      <c r="A24" s="7" t="s">
        <v>9</v>
      </c>
      <c r="B24" s="29"/>
      <c r="C24" s="7" t="s">
        <v>10</v>
      </c>
      <c r="D24" s="7" t="s">
        <v>44</v>
      </c>
      <c r="E24" s="7" t="s">
        <v>45</v>
      </c>
      <c r="F24" s="7" t="s">
        <v>13</v>
      </c>
      <c r="G24" s="7" t="s">
        <v>14</v>
      </c>
    </row>
    <row r="28" spans="1:7">
      <c r="A28" s="30">
        <v>1</v>
      </c>
      <c r="B28" s="31" t="s">
        <v>46</v>
      </c>
      <c r="C28" s="31" t="s">
        <v>47</v>
      </c>
      <c r="D28" s="23">
        <f>20+20+16+20+10+13+10+10</f>
        <v>119</v>
      </c>
      <c r="E28" s="23">
        <f>20+10+20</f>
        <v>50</v>
      </c>
      <c r="F28" s="23">
        <f>20+13+20+20</f>
        <v>73</v>
      </c>
      <c r="G28" s="23">
        <f t="shared" ref="G28:G49" si="0">SUM(D28:F28)</f>
        <v>242</v>
      </c>
    </row>
    <row r="29" spans="1:7">
      <c r="A29" s="30">
        <v>2</v>
      </c>
      <c r="B29" s="31" t="s">
        <v>46</v>
      </c>
      <c r="C29" s="31" t="s">
        <v>48</v>
      </c>
      <c r="D29" s="23">
        <f>16+13+10+10+13+7+4.5+13</f>
        <v>86.5</v>
      </c>
      <c r="E29" s="23">
        <f>6+7</f>
        <v>13</v>
      </c>
      <c r="F29" s="23">
        <f>6+10+16+13</f>
        <v>45</v>
      </c>
      <c r="G29" s="23">
        <f t="shared" si="0"/>
        <v>144.5</v>
      </c>
    </row>
    <row r="30" spans="1:7">
      <c r="A30" s="30">
        <v>3</v>
      </c>
      <c r="B30" s="14" t="s">
        <v>46</v>
      </c>
      <c r="C30" s="14" t="s">
        <v>49</v>
      </c>
      <c r="D30" s="32">
        <f>7+5+7+16</f>
        <v>35</v>
      </c>
      <c r="E30" s="33">
        <v>20</v>
      </c>
      <c r="F30" s="32">
        <f>7+16</f>
        <v>23</v>
      </c>
      <c r="G30" s="23">
        <f t="shared" si="0"/>
        <v>78</v>
      </c>
    </row>
    <row r="31" spans="1:7">
      <c r="A31" s="30">
        <v>4</v>
      </c>
      <c r="B31" t="s">
        <v>46</v>
      </c>
      <c r="C31" t="s">
        <v>50</v>
      </c>
      <c r="D31" s="26">
        <f>13+16+6.5+10+13</f>
        <v>58.5</v>
      </c>
      <c r="E31" s="25">
        <v>16</v>
      </c>
      <c r="F31" s="16">
        <v>0</v>
      </c>
      <c r="G31" s="23">
        <f t="shared" si="0"/>
        <v>74.5</v>
      </c>
    </row>
    <row r="32" spans="1:7">
      <c r="A32" s="30">
        <v>5</v>
      </c>
      <c r="B32" t="s">
        <v>51</v>
      </c>
      <c r="D32" s="26">
        <f>10+20</f>
        <v>30</v>
      </c>
      <c r="E32" s="33">
        <f>13+10</f>
        <v>23</v>
      </c>
      <c r="F32" s="16">
        <v>20</v>
      </c>
      <c r="G32" s="23">
        <f t="shared" si="0"/>
        <v>73</v>
      </c>
    </row>
    <row r="33" spans="1:7">
      <c r="A33" s="30">
        <v>6</v>
      </c>
      <c r="B33" s="31" t="s">
        <v>46</v>
      </c>
      <c r="C33" s="31" t="s">
        <v>52</v>
      </c>
      <c r="D33" s="23">
        <f>16+20</f>
        <v>36</v>
      </c>
      <c r="E33" s="34">
        <v>20</v>
      </c>
      <c r="F33" s="23">
        <v>16</v>
      </c>
      <c r="G33" s="23">
        <f t="shared" si="0"/>
        <v>72</v>
      </c>
    </row>
    <row r="34" spans="1:7">
      <c r="A34" s="30">
        <v>7</v>
      </c>
      <c r="B34" t="s">
        <v>46</v>
      </c>
      <c r="C34" t="s">
        <v>53</v>
      </c>
      <c r="D34" s="26">
        <f>7+13+7+6.5+6</f>
        <v>39.5</v>
      </c>
      <c r="E34" s="27">
        <v>13</v>
      </c>
      <c r="F34" s="26">
        <f>2+13</f>
        <v>15</v>
      </c>
      <c r="G34" s="23">
        <f t="shared" si="0"/>
        <v>67.5</v>
      </c>
    </row>
    <row r="35" spans="1:7">
      <c r="A35" s="30">
        <v>8</v>
      </c>
      <c r="B35" s="35" t="s">
        <v>46</v>
      </c>
      <c r="C35" s="35" t="s">
        <v>54</v>
      </c>
      <c r="D35" s="32">
        <f>6+10+16</f>
        <v>32</v>
      </c>
      <c r="E35" s="27">
        <f>16+16</f>
        <v>32</v>
      </c>
      <c r="F35" s="36">
        <v>0</v>
      </c>
      <c r="G35" s="23">
        <f t="shared" si="0"/>
        <v>64</v>
      </c>
    </row>
    <row r="36" spans="1:7">
      <c r="A36" s="30">
        <v>9</v>
      </c>
      <c r="B36" t="s">
        <v>46</v>
      </c>
      <c r="C36" t="s">
        <v>55</v>
      </c>
      <c r="D36" s="26">
        <f>20+20</f>
        <v>40</v>
      </c>
      <c r="E36" s="27">
        <v>0</v>
      </c>
      <c r="F36" s="16">
        <v>10</v>
      </c>
      <c r="G36" s="23">
        <f t="shared" si="0"/>
        <v>50</v>
      </c>
    </row>
    <row r="37" spans="1:7">
      <c r="A37" s="30">
        <v>10</v>
      </c>
      <c r="B37" t="s">
        <v>46</v>
      </c>
      <c r="C37" t="s">
        <v>56</v>
      </c>
      <c r="D37" s="26">
        <f>16+16+16</f>
        <v>48</v>
      </c>
      <c r="E37" s="27">
        <v>0</v>
      </c>
      <c r="F37" s="26">
        <v>0</v>
      </c>
      <c r="G37" s="23">
        <f t="shared" si="0"/>
        <v>48</v>
      </c>
    </row>
    <row r="38" spans="1:7">
      <c r="A38" s="30">
        <v>11</v>
      </c>
      <c r="B38" t="s">
        <v>46</v>
      </c>
      <c r="C38" t="s">
        <v>57</v>
      </c>
      <c r="D38" s="16">
        <f>13+10</f>
        <v>23</v>
      </c>
      <c r="E38" s="19">
        <f>7+10</f>
        <v>17</v>
      </c>
      <c r="F38" s="16">
        <v>5</v>
      </c>
      <c r="G38" s="34">
        <f t="shared" si="0"/>
        <v>45</v>
      </c>
    </row>
    <row r="39" spans="1:7">
      <c r="A39" s="30">
        <v>12</v>
      </c>
      <c r="B39" t="s">
        <v>46</v>
      </c>
      <c r="C39" t="s">
        <v>58</v>
      </c>
      <c r="D39" s="26">
        <v>13</v>
      </c>
      <c r="E39" s="27">
        <v>0</v>
      </c>
      <c r="F39" s="26">
        <f>13+16</f>
        <v>29</v>
      </c>
      <c r="G39" s="23">
        <f t="shared" si="0"/>
        <v>42</v>
      </c>
    </row>
    <row r="40" spans="1:7">
      <c r="A40" s="30">
        <v>13</v>
      </c>
      <c r="B40" t="s">
        <v>46</v>
      </c>
      <c r="C40" t="s">
        <v>59</v>
      </c>
      <c r="D40" s="26">
        <f>10+10</f>
        <v>20</v>
      </c>
      <c r="E40" s="27">
        <v>16</v>
      </c>
      <c r="F40" s="26">
        <v>4</v>
      </c>
      <c r="G40" s="23">
        <f t="shared" si="0"/>
        <v>40</v>
      </c>
    </row>
    <row r="41" spans="1:7">
      <c r="A41" s="30"/>
      <c r="B41" t="s">
        <v>46</v>
      </c>
      <c r="C41" t="s">
        <v>60</v>
      </c>
      <c r="D41" s="26">
        <f>20+20</f>
        <v>40</v>
      </c>
      <c r="E41" s="27">
        <v>0</v>
      </c>
      <c r="F41" s="16">
        <v>0</v>
      </c>
      <c r="G41" s="23">
        <f t="shared" si="0"/>
        <v>40</v>
      </c>
    </row>
    <row r="42" spans="1:7">
      <c r="A42" s="30">
        <v>15</v>
      </c>
      <c r="B42" t="s">
        <v>46</v>
      </c>
      <c r="C42" t="s">
        <v>61</v>
      </c>
      <c r="D42" s="26">
        <f>5+6.5+4</f>
        <v>15.5</v>
      </c>
      <c r="E42" s="19">
        <v>0</v>
      </c>
      <c r="F42" s="16">
        <v>0</v>
      </c>
      <c r="G42" s="23">
        <f t="shared" si="0"/>
        <v>15.5</v>
      </c>
    </row>
    <row r="43" spans="1:7">
      <c r="A43" s="30">
        <v>16</v>
      </c>
      <c r="B43" t="s">
        <v>46</v>
      </c>
      <c r="C43" t="s">
        <v>62</v>
      </c>
      <c r="D43" s="26">
        <v>0</v>
      </c>
      <c r="E43" s="27">
        <v>0</v>
      </c>
      <c r="F43" s="16">
        <v>13</v>
      </c>
      <c r="G43" s="23">
        <f t="shared" si="0"/>
        <v>13</v>
      </c>
    </row>
    <row r="44" spans="1:7">
      <c r="A44" s="30"/>
      <c r="B44" t="s">
        <v>46</v>
      </c>
      <c r="C44" t="s">
        <v>63</v>
      </c>
      <c r="D44" s="26">
        <v>0</v>
      </c>
      <c r="E44" s="27">
        <v>13</v>
      </c>
      <c r="F44" s="16">
        <v>0</v>
      </c>
      <c r="G44" s="23">
        <f t="shared" si="0"/>
        <v>13</v>
      </c>
    </row>
    <row r="45" spans="1:7">
      <c r="A45" s="30">
        <v>18</v>
      </c>
      <c r="B45" t="s">
        <v>46</v>
      </c>
      <c r="C45" t="s">
        <v>64</v>
      </c>
      <c r="D45" s="16">
        <f>6.5+6</f>
        <v>12.5</v>
      </c>
      <c r="E45" s="19">
        <v>0</v>
      </c>
      <c r="F45" s="16">
        <v>0</v>
      </c>
      <c r="G45" s="34">
        <f t="shared" si="0"/>
        <v>12.5</v>
      </c>
    </row>
    <row r="46" spans="1:7">
      <c r="A46" s="30">
        <v>19</v>
      </c>
      <c r="B46" t="s">
        <v>46</v>
      </c>
      <c r="C46" t="s">
        <v>65</v>
      </c>
      <c r="D46" s="26">
        <f>4.5+6</f>
        <v>10.5</v>
      </c>
      <c r="E46" s="27">
        <v>0</v>
      </c>
      <c r="F46" s="16">
        <v>0</v>
      </c>
      <c r="G46" s="23">
        <f t="shared" si="0"/>
        <v>10.5</v>
      </c>
    </row>
    <row r="47" spans="1:7">
      <c r="A47" s="30">
        <v>20</v>
      </c>
      <c r="B47" t="s">
        <v>46</v>
      </c>
      <c r="C47" t="s">
        <v>66</v>
      </c>
      <c r="D47" s="26">
        <f>3+3</f>
        <v>6</v>
      </c>
      <c r="E47" s="27">
        <v>0</v>
      </c>
      <c r="F47" s="16">
        <v>0</v>
      </c>
      <c r="G47" s="23">
        <f t="shared" si="0"/>
        <v>6</v>
      </c>
    </row>
    <row r="48" spans="1:7">
      <c r="A48" s="30"/>
      <c r="B48" t="s">
        <v>46</v>
      </c>
      <c r="C48" t="s">
        <v>67</v>
      </c>
      <c r="D48" s="16">
        <v>6</v>
      </c>
      <c r="E48" s="27">
        <v>0</v>
      </c>
      <c r="F48" s="16">
        <v>0</v>
      </c>
      <c r="G48" s="34">
        <f t="shared" si="0"/>
        <v>6</v>
      </c>
    </row>
    <row r="49" spans="1:7">
      <c r="A49" s="30">
        <v>22</v>
      </c>
      <c r="B49" t="s">
        <v>46</v>
      </c>
      <c r="C49" t="s">
        <v>68</v>
      </c>
      <c r="D49" s="26">
        <v>0</v>
      </c>
      <c r="E49" s="27">
        <v>0</v>
      </c>
      <c r="F49" s="16">
        <v>3</v>
      </c>
      <c r="G49" s="23">
        <f t="shared" si="0"/>
        <v>3</v>
      </c>
    </row>
    <row r="50" spans="1:7">
      <c r="D50" s="16"/>
      <c r="E50" s="16"/>
      <c r="F50" s="16"/>
      <c r="G50" s="16"/>
    </row>
    <row r="51" spans="1:7">
      <c r="D51" s="16"/>
      <c r="E51" s="16"/>
      <c r="F51" s="16"/>
      <c r="G51" s="16"/>
    </row>
    <row r="52" spans="1:7">
      <c r="D52" s="16"/>
      <c r="E52" s="16"/>
      <c r="F52" s="16"/>
      <c r="G52" s="16"/>
    </row>
    <row r="53" spans="1:7" ht="15">
      <c r="B53" s="20" t="s">
        <v>29</v>
      </c>
      <c r="D53" s="16"/>
      <c r="E53" s="16"/>
      <c r="F53" s="16"/>
      <c r="G53" s="16"/>
    </row>
    <row r="54" spans="1:7">
      <c r="D54" s="16"/>
      <c r="E54" s="16"/>
      <c r="F54" s="16"/>
      <c r="G54" s="16"/>
    </row>
    <row r="55" spans="1:7">
      <c r="A55" s="7" t="s">
        <v>9</v>
      </c>
      <c r="B55" s="37"/>
      <c r="C55" s="7" t="s">
        <v>10</v>
      </c>
      <c r="D55" s="38" t="s">
        <v>44</v>
      </c>
      <c r="E55" s="38" t="s">
        <v>45</v>
      </c>
      <c r="F55" s="38" t="s">
        <v>13</v>
      </c>
      <c r="G55" s="38" t="s">
        <v>14</v>
      </c>
    </row>
    <row r="56" spans="1:7">
      <c r="D56" s="16"/>
      <c r="E56" s="16"/>
      <c r="F56" s="16"/>
      <c r="G56" s="39"/>
    </row>
    <row r="58" spans="1:7">
      <c r="A58" s="40">
        <v>1</v>
      </c>
      <c r="B58" s="31" t="s">
        <v>46</v>
      </c>
      <c r="C58" s="31" t="s">
        <v>47</v>
      </c>
      <c r="D58" s="23">
        <f>16+20+10+2+20+16+20+6+16</f>
        <v>126</v>
      </c>
      <c r="E58" s="23">
        <f>16+16+20</f>
        <v>52</v>
      </c>
      <c r="F58" s="23">
        <f>16+13+20+20</f>
        <v>69</v>
      </c>
      <c r="G58" s="23">
        <f t="shared" ref="G58:G69" si="1">SUM(D58:F58)</f>
        <v>247</v>
      </c>
    </row>
    <row r="59" spans="1:7">
      <c r="A59" s="40">
        <v>2</v>
      </c>
      <c r="B59" s="31" t="s">
        <v>46</v>
      </c>
      <c r="C59" s="31" t="s">
        <v>48</v>
      </c>
      <c r="D59" s="23">
        <f>16+13+13+10+16+10+7+6+6</f>
        <v>97</v>
      </c>
      <c r="E59" s="23">
        <f>10+13</f>
        <v>23</v>
      </c>
      <c r="F59" s="23">
        <f>7+7+13+16</f>
        <v>43</v>
      </c>
      <c r="G59" s="23">
        <f t="shared" si="1"/>
        <v>163</v>
      </c>
    </row>
    <row r="60" spans="1:7">
      <c r="A60" s="40">
        <v>3</v>
      </c>
      <c r="B60" s="41" t="s">
        <v>46</v>
      </c>
      <c r="C60" s="41" t="s">
        <v>52</v>
      </c>
      <c r="D60" s="25">
        <f>20+20+16</f>
        <v>56</v>
      </c>
      <c r="E60" s="27">
        <v>20</v>
      </c>
      <c r="F60" s="25">
        <v>20</v>
      </c>
      <c r="G60" s="23">
        <f t="shared" si="1"/>
        <v>96</v>
      </c>
    </row>
    <row r="61" spans="1:7">
      <c r="A61" s="13">
        <v>4</v>
      </c>
      <c r="B61" t="s">
        <v>46</v>
      </c>
      <c r="C61" t="s">
        <v>53</v>
      </c>
      <c r="D61" s="26">
        <f>5+5.5+13+6+6+7+13+7</f>
        <v>62.5</v>
      </c>
      <c r="E61" s="19">
        <v>10</v>
      </c>
      <c r="F61" s="26">
        <f>4+16</f>
        <v>20</v>
      </c>
      <c r="G61" s="23">
        <f t="shared" si="1"/>
        <v>92.5</v>
      </c>
    </row>
    <row r="62" spans="1:7">
      <c r="A62" s="13">
        <v>5</v>
      </c>
      <c r="B62" t="s">
        <v>46</v>
      </c>
      <c r="C62" t="s">
        <v>50</v>
      </c>
      <c r="D62" s="26">
        <f>16+13+13+16+20+7</f>
        <v>85</v>
      </c>
      <c r="E62" s="33">
        <v>7</v>
      </c>
      <c r="F62" s="16">
        <v>0</v>
      </c>
      <c r="G62" s="23">
        <f t="shared" si="1"/>
        <v>92</v>
      </c>
    </row>
    <row r="63" spans="1:7">
      <c r="A63" s="13">
        <v>6</v>
      </c>
      <c r="B63" t="s">
        <v>46</v>
      </c>
      <c r="C63" t="s">
        <v>59</v>
      </c>
      <c r="D63" s="26">
        <f>20+16+5+10</f>
        <v>51</v>
      </c>
      <c r="E63" s="19">
        <v>16</v>
      </c>
      <c r="F63" s="26">
        <v>13</v>
      </c>
      <c r="G63" s="23">
        <f t="shared" si="1"/>
        <v>80</v>
      </c>
    </row>
    <row r="64" spans="1:7">
      <c r="A64" s="13">
        <v>7</v>
      </c>
      <c r="B64" s="42" t="s">
        <v>46</v>
      </c>
      <c r="C64" s="42" t="s">
        <v>49</v>
      </c>
      <c r="D64" s="24">
        <f>7+7+7+5.5+20+5+7</f>
        <v>58.5</v>
      </c>
      <c r="E64" s="43">
        <v>0</v>
      </c>
      <c r="F64" s="24">
        <f>5+16</f>
        <v>21</v>
      </c>
      <c r="G64" s="23">
        <f t="shared" si="1"/>
        <v>79.5</v>
      </c>
    </row>
    <row r="65" spans="1:7">
      <c r="A65" s="13">
        <v>8</v>
      </c>
      <c r="B65" t="s">
        <v>46</v>
      </c>
      <c r="C65" t="s">
        <v>67</v>
      </c>
      <c r="D65" s="16">
        <v>6</v>
      </c>
      <c r="E65" s="19">
        <f>20+16</f>
        <v>36</v>
      </c>
      <c r="F65" s="26">
        <v>13</v>
      </c>
      <c r="G65" s="23">
        <f t="shared" si="1"/>
        <v>55</v>
      </c>
    </row>
    <row r="66" spans="1:7">
      <c r="A66" s="13">
        <v>9</v>
      </c>
      <c r="B66" s="14" t="s">
        <v>46</v>
      </c>
      <c r="C66" s="14" t="s">
        <v>57</v>
      </c>
      <c r="D66" s="15">
        <f>10+4+7+10</f>
        <v>31</v>
      </c>
      <c r="E66" s="25">
        <v>10</v>
      </c>
      <c r="F66" s="15">
        <f>3+10</f>
        <v>13</v>
      </c>
      <c r="G66" s="23">
        <f t="shared" si="1"/>
        <v>54</v>
      </c>
    </row>
    <row r="67" spans="1:7">
      <c r="A67" s="13">
        <v>10</v>
      </c>
      <c r="B67" t="s">
        <v>51</v>
      </c>
      <c r="D67" s="16">
        <f>13+13</f>
        <v>26</v>
      </c>
      <c r="E67" s="19">
        <v>7</v>
      </c>
      <c r="F67" s="16">
        <v>20</v>
      </c>
      <c r="G67" s="34">
        <f t="shared" si="1"/>
        <v>53</v>
      </c>
    </row>
    <row r="68" spans="1:7">
      <c r="A68" s="13">
        <v>11</v>
      </c>
      <c r="B68" t="s">
        <v>46</v>
      </c>
      <c r="C68" t="s">
        <v>56</v>
      </c>
      <c r="D68" s="26">
        <f>5.5+10+10+10</f>
        <v>35.5</v>
      </c>
      <c r="E68" s="19">
        <v>0</v>
      </c>
      <c r="F68" s="26">
        <f>6+10</f>
        <v>16</v>
      </c>
      <c r="G68" s="23">
        <f t="shared" si="1"/>
        <v>51.5</v>
      </c>
    </row>
    <row r="69" spans="1:7">
      <c r="A69" s="13">
        <v>12</v>
      </c>
      <c r="B69" t="s">
        <v>46</v>
      </c>
      <c r="C69" t="s">
        <v>54</v>
      </c>
      <c r="D69" s="26">
        <f>2+6+10</f>
        <v>18</v>
      </c>
      <c r="E69" s="19">
        <f>20+13</f>
        <v>33</v>
      </c>
      <c r="F69" s="16">
        <v>0</v>
      </c>
      <c r="G69" s="23">
        <f t="shared" si="1"/>
        <v>51</v>
      </c>
    </row>
    <row r="70" spans="1:7">
      <c r="A70" s="13">
        <v>13</v>
      </c>
      <c r="B70" s="35" t="s">
        <v>46</v>
      </c>
      <c r="C70" s="35" t="s">
        <v>55</v>
      </c>
      <c r="D70" s="32">
        <f>5+13+20</f>
        <v>38</v>
      </c>
      <c r="E70" s="19">
        <v>0</v>
      </c>
      <c r="F70" s="32">
        <v>10</v>
      </c>
      <c r="G70" s="23">
        <v>47</v>
      </c>
    </row>
    <row r="71" spans="1:7">
      <c r="A71" s="13">
        <v>14</v>
      </c>
      <c r="B71" t="s">
        <v>46</v>
      </c>
      <c r="C71" t="s">
        <v>60</v>
      </c>
      <c r="D71" s="26">
        <f>20+16</f>
        <v>36</v>
      </c>
      <c r="E71" s="19">
        <v>0</v>
      </c>
      <c r="F71" s="16">
        <v>0</v>
      </c>
      <c r="G71" s="23">
        <f t="shared" ref="G71:G79" si="2">SUM(D71:F71)</f>
        <v>36</v>
      </c>
    </row>
    <row r="72" spans="1:7">
      <c r="A72" s="13">
        <v>15</v>
      </c>
      <c r="B72" t="s">
        <v>46</v>
      </c>
      <c r="C72" t="s">
        <v>64</v>
      </c>
      <c r="D72" s="16">
        <f>5.5+5+7+13</f>
        <v>30.5</v>
      </c>
      <c r="E72" s="19">
        <v>0</v>
      </c>
      <c r="F72" s="16">
        <v>0</v>
      </c>
      <c r="G72" s="34">
        <f t="shared" si="2"/>
        <v>30.5</v>
      </c>
    </row>
    <row r="73" spans="1:7">
      <c r="A73" s="13">
        <v>16</v>
      </c>
      <c r="B73" t="s">
        <v>46</v>
      </c>
      <c r="C73" t="s">
        <v>62</v>
      </c>
      <c r="D73" s="26">
        <v>2</v>
      </c>
      <c r="E73" s="19">
        <v>0</v>
      </c>
      <c r="F73" s="16">
        <f>6+10</f>
        <v>16</v>
      </c>
      <c r="G73" s="23">
        <f t="shared" si="2"/>
        <v>18</v>
      </c>
    </row>
    <row r="74" spans="1:7">
      <c r="A74" s="13">
        <v>17</v>
      </c>
      <c r="B74" t="s">
        <v>46</v>
      </c>
      <c r="C74" t="s">
        <v>61</v>
      </c>
      <c r="D74" s="26">
        <f>5+6+5</f>
        <v>16</v>
      </c>
      <c r="E74" s="19">
        <v>0</v>
      </c>
      <c r="F74" s="16">
        <v>0</v>
      </c>
      <c r="G74" s="23">
        <f t="shared" si="2"/>
        <v>16</v>
      </c>
    </row>
    <row r="75" spans="1:7">
      <c r="A75" s="13">
        <v>18</v>
      </c>
      <c r="B75" t="s">
        <v>46</v>
      </c>
      <c r="C75" t="s">
        <v>63</v>
      </c>
      <c r="D75" s="16">
        <v>0</v>
      </c>
      <c r="E75" s="19">
        <v>13</v>
      </c>
      <c r="F75" s="16">
        <v>0</v>
      </c>
      <c r="G75" s="34">
        <f t="shared" si="2"/>
        <v>13</v>
      </c>
    </row>
    <row r="76" spans="1:7">
      <c r="A76" s="13">
        <v>19</v>
      </c>
      <c r="B76" t="s">
        <v>46</v>
      </c>
      <c r="C76" t="s">
        <v>65</v>
      </c>
      <c r="D76" s="26">
        <f>5+7</f>
        <v>12</v>
      </c>
      <c r="E76" s="19">
        <v>0</v>
      </c>
      <c r="F76" s="16">
        <v>0</v>
      </c>
      <c r="G76" s="23">
        <f t="shared" si="2"/>
        <v>12</v>
      </c>
    </row>
    <row r="77" spans="1:7">
      <c r="A77" s="13">
        <v>20</v>
      </c>
      <c r="B77" t="s">
        <v>46</v>
      </c>
      <c r="C77" t="s">
        <v>66</v>
      </c>
      <c r="D77" s="26">
        <f>4+6</f>
        <v>10</v>
      </c>
      <c r="E77" s="19">
        <v>0</v>
      </c>
      <c r="F77" s="16">
        <v>0</v>
      </c>
      <c r="G77" s="23">
        <f t="shared" si="2"/>
        <v>10</v>
      </c>
    </row>
    <row r="78" spans="1:7">
      <c r="A78" s="13"/>
      <c r="B78" t="s">
        <v>46</v>
      </c>
      <c r="C78" t="s">
        <v>58</v>
      </c>
      <c r="D78" s="26">
        <v>10</v>
      </c>
      <c r="E78" s="19">
        <v>0</v>
      </c>
      <c r="F78" s="16">
        <v>0</v>
      </c>
      <c r="G78" s="23">
        <f t="shared" si="2"/>
        <v>10</v>
      </c>
    </row>
    <row r="79" spans="1:7">
      <c r="A79" s="40">
        <v>22</v>
      </c>
      <c r="B79" t="s">
        <v>46</v>
      </c>
      <c r="C79" t="s">
        <v>68</v>
      </c>
      <c r="D79" s="26">
        <v>0</v>
      </c>
      <c r="E79" s="19">
        <v>0</v>
      </c>
      <c r="F79" s="16">
        <v>0</v>
      </c>
      <c r="G79" s="23">
        <f t="shared" si="2"/>
        <v>0</v>
      </c>
    </row>
    <row r="80" spans="1:7">
      <c r="A80" s="40"/>
      <c r="D80" s="26"/>
      <c r="E80" s="19"/>
      <c r="F80" s="16"/>
      <c r="G80" s="23"/>
    </row>
    <row r="81" spans="1:7">
      <c r="D81" s="16"/>
      <c r="E81" s="16"/>
      <c r="F81" s="16"/>
      <c r="G81" s="16"/>
    </row>
    <row r="82" spans="1:7" ht="18">
      <c r="B82" s="2" t="s">
        <v>69</v>
      </c>
      <c r="D82" s="16"/>
      <c r="E82" s="16"/>
      <c r="F82" s="16"/>
      <c r="G82" s="16"/>
    </row>
    <row r="83" spans="1:7" ht="18">
      <c r="B83" s="2"/>
      <c r="D83" s="16"/>
      <c r="E83" s="16"/>
      <c r="F83" s="16"/>
      <c r="G83" s="16"/>
    </row>
    <row r="84" spans="1:7">
      <c r="A84" s="21" t="s">
        <v>9</v>
      </c>
      <c r="B84" s="44"/>
      <c r="C84" s="21" t="s">
        <v>27</v>
      </c>
      <c r="D84" s="21" t="s">
        <v>28</v>
      </c>
      <c r="E84" s="21" t="s">
        <v>29</v>
      </c>
      <c r="F84" s="21" t="s">
        <v>14</v>
      </c>
    </row>
    <row r="85" spans="1:7">
      <c r="D85" s="16"/>
      <c r="E85" s="16"/>
      <c r="F85" s="16"/>
    </row>
    <row r="87" spans="1:7">
      <c r="A87" s="45">
        <v>1</v>
      </c>
      <c r="B87" s="31" t="s">
        <v>46</v>
      </c>
      <c r="C87" s="31" t="s">
        <v>47</v>
      </c>
      <c r="D87" s="43">
        <v>242</v>
      </c>
      <c r="E87" s="43">
        <v>247</v>
      </c>
      <c r="F87" s="24">
        <f>SUM(D87:E87)</f>
        <v>489</v>
      </c>
    </row>
    <row r="88" spans="1:7">
      <c r="A88" s="45">
        <v>2</v>
      </c>
      <c r="B88" s="31" t="s">
        <v>46</v>
      </c>
      <c r="C88" s="31" t="s">
        <v>48</v>
      </c>
      <c r="D88" s="43">
        <v>144.5</v>
      </c>
      <c r="E88" s="43">
        <v>163</v>
      </c>
      <c r="F88" s="24">
        <f t="shared" ref="F88:F109" si="3">SUM(D88:E88)</f>
        <v>307.5</v>
      </c>
    </row>
    <row r="89" spans="1:7">
      <c r="A89" s="45">
        <v>3</v>
      </c>
      <c r="B89" s="31" t="s">
        <v>46</v>
      </c>
      <c r="C89" s="31" t="s">
        <v>52</v>
      </c>
      <c r="D89" s="11">
        <v>72</v>
      </c>
      <c r="E89" s="23">
        <v>96</v>
      </c>
      <c r="F89" s="24">
        <f t="shared" si="3"/>
        <v>168</v>
      </c>
    </row>
    <row r="90" spans="1:7">
      <c r="A90" s="30">
        <v>4</v>
      </c>
      <c r="B90" t="s">
        <v>46</v>
      </c>
      <c r="C90" t="s">
        <v>50</v>
      </c>
      <c r="D90" s="25">
        <v>74.5</v>
      </c>
      <c r="E90" s="25">
        <v>92</v>
      </c>
      <c r="F90" s="24">
        <f t="shared" si="3"/>
        <v>166.5</v>
      </c>
    </row>
    <row r="91" spans="1:7">
      <c r="A91" s="30">
        <v>5</v>
      </c>
      <c r="B91" t="s">
        <v>46</v>
      </c>
      <c r="C91" t="s">
        <v>53</v>
      </c>
      <c r="D91" s="26">
        <v>67.5</v>
      </c>
      <c r="E91" s="25">
        <v>92.5</v>
      </c>
      <c r="F91" s="24">
        <f t="shared" si="3"/>
        <v>160</v>
      </c>
    </row>
    <row r="92" spans="1:7">
      <c r="A92" s="30">
        <v>6</v>
      </c>
      <c r="B92" s="14" t="s">
        <v>46</v>
      </c>
      <c r="C92" s="14" t="s">
        <v>49</v>
      </c>
      <c r="D92" s="15">
        <v>78</v>
      </c>
      <c r="E92" s="25">
        <v>79.5</v>
      </c>
      <c r="F92" s="24">
        <f t="shared" si="3"/>
        <v>157.5</v>
      </c>
    </row>
    <row r="93" spans="1:7">
      <c r="A93" s="30">
        <v>7</v>
      </c>
      <c r="B93" t="s">
        <v>51</v>
      </c>
      <c r="D93" s="26">
        <v>73</v>
      </c>
      <c r="E93" s="25">
        <v>53</v>
      </c>
      <c r="F93" s="24">
        <f t="shared" si="3"/>
        <v>126</v>
      </c>
    </row>
    <row r="94" spans="1:7">
      <c r="A94" s="30">
        <v>8</v>
      </c>
      <c r="B94" t="s">
        <v>46</v>
      </c>
      <c r="C94" t="s">
        <v>59</v>
      </c>
      <c r="D94" s="36">
        <v>40</v>
      </c>
      <c r="E94" s="33">
        <v>80</v>
      </c>
      <c r="F94" s="24">
        <f t="shared" si="3"/>
        <v>120</v>
      </c>
    </row>
    <row r="95" spans="1:7">
      <c r="A95" s="30">
        <v>9</v>
      </c>
      <c r="B95" s="35" t="s">
        <v>46</v>
      </c>
      <c r="C95" s="35" t="s">
        <v>54</v>
      </c>
      <c r="D95" s="26">
        <v>64</v>
      </c>
      <c r="E95" s="25">
        <v>51</v>
      </c>
      <c r="F95" s="24">
        <f t="shared" si="3"/>
        <v>115</v>
      </c>
    </row>
    <row r="96" spans="1:7">
      <c r="A96" s="30">
        <v>10</v>
      </c>
      <c r="B96" t="s">
        <v>46</v>
      </c>
      <c r="C96" t="s">
        <v>56</v>
      </c>
      <c r="D96" s="26">
        <v>48</v>
      </c>
      <c r="E96" s="25">
        <v>51.5</v>
      </c>
      <c r="F96" s="24">
        <f t="shared" si="3"/>
        <v>99.5</v>
      </c>
    </row>
    <row r="97" spans="1:7">
      <c r="A97" s="30">
        <v>11</v>
      </c>
      <c r="B97" t="s">
        <v>46</v>
      </c>
      <c r="C97" t="s">
        <v>57</v>
      </c>
      <c r="D97" s="26">
        <v>45</v>
      </c>
      <c r="E97" s="25">
        <v>54</v>
      </c>
      <c r="F97" s="24">
        <f t="shared" si="3"/>
        <v>99</v>
      </c>
    </row>
    <row r="98" spans="1:7">
      <c r="A98" s="30">
        <v>12</v>
      </c>
      <c r="B98" t="s">
        <v>46</v>
      </c>
      <c r="C98" t="s">
        <v>55</v>
      </c>
      <c r="D98" s="26">
        <v>50</v>
      </c>
      <c r="E98" s="25">
        <v>47</v>
      </c>
      <c r="F98" s="24">
        <f t="shared" si="3"/>
        <v>97</v>
      </c>
    </row>
    <row r="99" spans="1:7">
      <c r="A99" s="30">
        <v>13</v>
      </c>
      <c r="B99" t="s">
        <v>46</v>
      </c>
      <c r="C99" t="s">
        <v>60</v>
      </c>
      <c r="D99" s="26">
        <v>40</v>
      </c>
      <c r="E99" s="25">
        <v>34</v>
      </c>
      <c r="F99" s="24">
        <f t="shared" si="3"/>
        <v>74</v>
      </c>
    </row>
    <row r="100" spans="1:7">
      <c r="A100" s="30">
        <v>14</v>
      </c>
      <c r="B100" t="s">
        <v>46</v>
      </c>
      <c r="C100" t="s">
        <v>67</v>
      </c>
      <c r="D100" s="26">
        <v>6</v>
      </c>
      <c r="E100" s="25">
        <v>55</v>
      </c>
      <c r="F100" s="24">
        <f t="shared" si="3"/>
        <v>61</v>
      </c>
    </row>
    <row r="101" spans="1:7">
      <c r="A101" s="30">
        <v>15</v>
      </c>
      <c r="B101" t="s">
        <v>46</v>
      </c>
      <c r="C101" t="s">
        <v>58</v>
      </c>
      <c r="D101" s="26">
        <v>42</v>
      </c>
      <c r="E101" s="25">
        <v>10</v>
      </c>
      <c r="F101" s="24">
        <f t="shared" si="3"/>
        <v>52</v>
      </c>
    </row>
    <row r="102" spans="1:7">
      <c r="A102" s="30">
        <v>16</v>
      </c>
      <c r="B102" t="s">
        <v>46</v>
      </c>
      <c r="C102" t="s">
        <v>64</v>
      </c>
      <c r="D102" s="26">
        <v>12.5</v>
      </c>
      <c r="E102" s="26">
        <v>33.5</v>
      </c>
      <c r="F102" s="24">
        <f t="shared" si="3"/>
        <v>46</v>
      </c>
    </row>
    <row r="103" spans="1:7">
      <c r="A103" s="30">
        <v>17</v>
      </c>
      <c r="B103" t="s">
        <v>46</v>
      </c>
      <c r="C103" t="s">
        <v>61</v>
      </c>
      <c r="D103" s="26">
        <v>15.5</v>
      </c>
      <c r="E103" s="25">
        <v>16</v>
      </c>
      <c r="F103" s="24">
        <f t="shared" si="3"/>
        <v>31.5</v>
      </c>
    </row>
    <row r="104" spans="1:7">
      <c r="A104" s="30">
        <v>18</v>
      </c>
      <c r="B104" t="s">
        <v>46</v>
      </c>
      <c r="C104" t="s">
        <v>62</v>
      </c>
      <c r="D104" s="26">
        <v>13</v>
      </c>
      <c r="E104" s="27">
        <v>18</v>
      </c>
      <c r="F104" s="24">
        <f t="shared" si="3"/>
        <v>31</v>
      </c>
    </row>
    <row r="105" spans="1:7">
      <c r="A105" s="30">
        <v>19</v>
      </c>
      <c r="B105" t="s">
        <v>46</v>
      </c>
      <c r="C105" t="s">
        <v>64</v>
      </c>
      <c r="D105" s="16">
        <v>0</v>
      </c>
      <c r="E105" s="16">
        <v>30.5</v>
      </c>
      <c r="F105" s="24">
        <f t="shared" si="3"/>
        <v>30.5</v>
      </c>
    </row>
    <row r="106" spans="1:7">
      <c r="A106" s="30">
        <v>20</v>
      </c>
      <c r="B106" t="s">
        <v>46</v>
      </c>
      <c r="C106" t="s">
        <v>63</v>
      </c>
      <c r="D106" s="32">
        <v>13</v>
      </c>
      <c r="E106" s="25">
        <v>13</v>
      </c>
      <c r="F106" s="24">
        <f t="shared" si="3"/>
        <v>26</v>
      </c>
    </row>
    <row r="107" spans="1:7">
      <c r="A107" s="30">
        <v>21</v>
      </c>
      <c r="B107" t="s">
        <v>46</v>
      </c>
      <c r="C107" t="s">
        <v>65</v>
      </c>
      <c r="D107" s="26">
        <v>10.5</v>
      </c>
      <c r="E107" s="25">
        <v>12</v>
      </c>
      <c r="F107" s="24">
        <f t="shared" si="3"/>
        <v>22.5</v>
      </c>
    </row>
    <row r="108" spans="1:7">
      <c r="A108" s="30">
        <v>22</v>
      </c>
      <c r="B108" t="s">
        <v>46</v>
      </c>
      <c r="C108" t="s">
        <v>66</v>
      </c>
      <c r="D108" s="26">
        <v>6</v>
      </c>
      <c r="E108" s="27">
        <v>10</v>
      </c>
      <c r="F108" s="24">
        <f t="shared" si="3"/>
        <v>16</v>
      </c>
    </row>
    <row r="109" spans="1:7">
      <c r="A109" s="30">
        <v>23</v>
      </c>
      <c r="B109" t="s">
        <v>46</v>
      </c>
      <c r="C109" t="s">
        <v>68</v>
      </c>
      <c r="D109" s="16">
        <v>3</v>
      </c>
      <c r="E109" s="25">
        <v>0</v>
      </c>
      <c r="F109" s="24">
        <f t="shared" si="3"/>
        <v>3</v>
      </c>
    </row>
    <row r="110" spans="1:7">
      <c r="A110" s="47"/>
    </row>
    <row r="111" spans="1:7">
      <c r="B111" s="14" t="s">
        <v>70</v>
      </c>
      <c r="D111" s="16"/>
      <c r="E111" s="16"/>
      <c r="F111" s="16"/>
      <c r="G111" s="36"/>
    </row>
    <row r="112" spans="1:7">
      <c r="F112" s="16"/>
      <c r="G112" s="36"/>
    </row>
    <row r="113" spans="4:7">
      <c r="E113" s="16" t="s">
        <v>71</v>
      </c>
      <c r="F113" s="16"/>
      <c r="G113" s="36"/>
    </row>
    <row r="114" spans="4:7">
      <c r="D114" s="14" t="s">
        <v>72</v>
      </c>
      <c r="F114" s="16"/>
      <c r="G114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9"/>
  <sheetViews>
    <sheetView topLeftCell="A97" workbookViewId="0">
      <selection activeCell="D108" sqref="D108"/>
    </sheetView>
  </sheetViews>
  <sheetFormatPr defaultRowHeight="14.25"/>
  <cols>
    <col min="1" max="1" width="4.25" customWidth="1"/>
    <col min="2" max="2" width="43.625" customWidth="1"/>
  </cols>
  <sheetData>
    <row r="1" spans="1:6" ht="20.25">
      <c r="B1" s="1" t="s">
        <v>34</v>
      </c>
      <c r="C1" s="2"/>
      <c r="D1" s="2"/>
    </row>
    <row r="2" spans="1:6" ht="18">
      <c r="A2" s="2" t="s">
        <v>73</v>
      </c>
      <c r="B2" s="5"/>
      <c r="C2" s="5"/>
      <c r="D2" s="5"/>
      <c r="E2" s="5"/>
    </row>
    <row r="3" spans="1:6">
      <c r="A3" s="5"/>
      <c r="B3" s="5"/>
      <c r="C3" s="5"/>
      <c r="D3" s="5"/>
      <c r="E3" s="5"/>
      <c r="F3" s="5"/>
    </row>
    <row r="4" spans="1:6" ht="15.75">
      <c r="B4" s="4" t="s">
        <v>74</v>
      </c>
    </row>
    <row r="6" spans="1:6">
      <c r="A6" t="s">
        <v>3</v>
      </c>
    </row>
    <row r="7" spans="1:6">
      <c r="B7" t="s">
        <v>37</v>
      </c>
    </row>
    <row r="8" spans="1:6">
      <c r="B8" t="s">
        <v>38</v>
      </c>
    </row>
    <row r="9" spans="1:6">
      <c r="A9" t="s">
        <v>75</v>
      </c>
    </row>
    <row r="10" spans="1:6">
      <c r="B10" t="s">
        <v>76</v>
      </c>
    </row>
    <row r="11" spans="1:6">
      <c r="B11" t="s">
        <v>77</v>
      </c>
    </row>
    <row r="12" spans="1:6">
      <c r="A12" t="s">
        <v>78</v>
      </c>
    </row>
    <row r="13" spans="1:6">
      <c r="A13" t="s">
        <v>79</v>
      </c>
    </row>
    <row r="14" spans="1:6">
      <c r="B14" t="s">
        <v>80</v>
      </c>
    </row>
    <row r="15" spans="1:6">
      <c r="A15" s="7" t="s">
        <v>9</v>
      </c>
      <c r="B15" s="7" t="s">
        <v>10</v>
      </c>
      <c r="C15" s="7" t="s">
        <v>81</v>
      </c>
      <c r="D15" s="7" t="s">
        <v>45</v>
      </c>
      <c r="E15" s="7" t="s">
        <v>13</v>
      </c>
      <c r="F15" s="7" t="s">
        <v>14</v>
      </c>
    </row>
    <row r="17" spans="1:6" ht="15">
      <c r="B17" s="20" t="s">
        <v>15</v>
      </c>
    </row>
    <row r="19" spans="1:6">
      <c r="A19" s="22">
        <v>1</v>
      </c>
      <c r="B19" s="3" t="s">
        <v>82</v>
      </c>
      <c r="C19" s="48">
        <f>16+16+13+14.5+13+16+8.5+6+4</f>
        <v>107</v>
      </c>
      <c r="D19" s="39">
        <f>20+20+7</f>
        <v>47</v>
      </c>
      <c r="E19" s="48">
        <f>16+16+16+16+13</f>
        <v>77</v>
      </c>
      <c r="F19" s="46">
        <f t="shared" ref="F19:F43" si="0">SUM(C19:E19)</f>
        <v>231</v>
      </c>
    </row>
    <row r="20" spans="1:6">
      <c r="A20" s="22">
        <v>2</v>
      </c>
      <c r="B20" s="3" t="s">
        <v>83</v>
      </c>
      <c r="C20" s="48">
        <f>13+20+20+14.5+20+2+5.5+6+20</f>
        <v>121</v>
      </c>
      <c r="D20" s="39">
        <f>10+3</f>
        <v>13</v>
      </c>
      <c r="E20" s="39">
        <f>20+13+7</f>
        <v>40</v>
      </c>
      <c r="F20" s="46">
        <f t="shared" si="0"/>
        <v>174</v>
      </c>
    </row>
    <row r="21" spans="1:6">
      <c r="A21" s="22">
        <v>3</v>
      </c>
      <c r="B21" s="31" t="s">
        <v>84</v>
      </c>
      <c r="C21" s="34">
        <f>20+6+5+20+3+16</f>
        <v>70</v>
      </c>
      <c r="D21" s="34">
        <f>16+16</f>
        <v>32</v>
      </c>
      <c r="E21" s="34">
        <f>10+2+20+20+6</f>
        <v>58</v>
      </c>
      <c r="F21" s="46">
        <f t="shared" si="0"/>
        <v>160</v>
      </c>
    </row>
    <row r="22" spans="1:6">
      <c r="A22" s="30">
        <v>4</v>
      </c>
      <c r="B22" s="14" t="s">
        <v>85</v>
      </c>
      <c r="C22" s="17">
        <f>10+7+16+7+10+10</f>
        <v>60</v>
      </c>
      <c r="D22" s="19">
        <f>13+13</f>
        <v>26</v>
      </c>
      <c r="E22" s="17">
        <f>13+10+7+13+16</f>
        <v>59</v>
      </c>
      <c r="F22" s="46">
        <f t="shared" si="0"/>
        <v>145</v>
      </c>
    </row>
    <row r="23" spans="1:6">
      <c r="A23" s="30">
        <v>5</v>
      </c>
      <c r="B23" s="35" t="s">
        <v>86</v>
      </c>
      <c r="C23" s="36">
        <f>6+10+10+13+13+7</f>
        <v>59</v>
      </c>
      <c r="D23" s="19">
        <f>7+6</f>
        <v>13</v>
      </c>
      <c r="E23" s="36">
        <f>6.5+7+6+20</f>
        <v>39.5</v>
      </c>
      <c r="F23" s="46">
        <f t="shared" si="0"/>
        <v>111.5</v>
      </c>
    </row>
    <row r="24" spans="1:6">
      <c r="A24" s="30">
        <v>6</v>
      </c>
      <c r="B24" t="s">
        <v>87</v>
      </c>
      <c r="C24" s="16">
        <f>5+13+6+13+3+13</f>
        <v>53</v>
      </c>
      <c r="D24" s="19">
        <f>5+4</f>
        <v>9</v>
      </c>
      <c r="E24" s="16">
        <f>6.5+6+10+7+10</f>
        <v>39.5</v>
      </c>
      <c r="F24" s="46">
        <f t="shared" si="0"/>
        <v>101.5</v>
      </c>
    </row>
    <row r="25" spans="1:6">
      <c r="A25" s="30">
        <v>7</v>
      </c>
      <c r="B25" s="5" t="s">
        <v>88</v>
      </c>
      <c r="C25" s="16">
        <f>20+3+20+16</f>
        <v>59</v>
      </c>
      <c r="D25" s="19">
        <f>10</f>
        <v>10</v>
      </c>
      <c r="E25" s="19">
        <v>0</v>
      </c>
      <c r="F25" s="46">
        <f t="shared" si="0"/>
        <v>69</v>
      </c>
    </row>
    <row r="26" spans="1:6">
      <c r="A26" s="30">
        <v>8</v>
      </c>
      <c r="B26" t="s">
        <v>89</v>
      </c>
      <c r="C26" s="16">
        <f>4+5+6</f>
        <v>15</v>
      </c>
      <c r="D26" s="19">
        <f>20</f>
        <v>20</v>
      </c>
      <c r="E26" s="19">
        <f>20+6+4</f>
        <v>30</v>
      </c>
      <c r="F26" s="46">
        <f t="shared" si="0"/>
        <v>65</v>
      </c>
    </row>
    <row r="27" spans="1:6">
      <c r="A27" s="30">
        <v>9</v>
      </c>
      <c r="B27" t="s">
        <v>90</v>
      </c>
      <c r="C27" s="16">
        <f>7+7+1</f>
        <v>15</v>
      </c>
      <c r="D27" s="19">
        <f>5+4</f>
        <v>9</v>
      </c>
      <c r="E27" s="19">
        <f>13+10</f>
        <v>23</v>
      </c>
      <c r="F27" s="46">
        <f t="shared" si="0"/>
        <v>47</v>
      </c>
    </row>
    <row r="28" spans="1:6">
      <c r="A28" s="30">
        <v>10</v>
      </c>
      <c r="B28" t="s">
        <v>91</v>
      </c>
      <c r="C28" s="16">
        <f>16+20</f>
        <v>36</v>
      </c>
      <c r="D28" s="19">
        <v>0</v>
      </c>
      <c r="E28" s="16">
        <v>5</v>
      </c>
      <c r="F28" s="46">
        <f t="shared" si="0"/>
        <v>41</v>
      </c>
    </row>
    <row r="29" spans="1:6">
      <c r="A29" s="30">
        <v>11</v>
      </c>
      <c r="B29" t="s">
        <v>92</v>
      </c>
      <c r="C29" s="16">
        <f>6+3</f>
        <v>9</v>
      </c>
      <c r="D29" s="19">
        <f>6+7</f>
        <v>13</v>
      </c>
      <c r="E29" s="19">
        <f>5+5+5</f>
        <v>15</v>
      </c>
      <c r="F29" s="46">
        <f t="shared" si="0"/>
        <v>37</v>
      </c>
    </row>
    <row r="30" spans="1:6">
      <c r="A30" s="30">
        <v>12</v>
      </c>
      <c r="B30" t="s">
        <v>93</v>
      </c>
      <c r="C30" s="16">
        <v>10</v>
      </c>
      <c r="D30" s="19">
        <v>13</v>
      </c>
      <c r="E30" s="16">
        <v>0</v>
      </c>
      <c r="F30" s="46">
        <f t="shared" si="0"/>
        <v>23</v>
      </c>
    </row>
    <row r="31" spans="1:6">
      <c r="A31" s="30">
        <v>13</v>
      </c>
      <c r="B31" t="s">
        <v>94</v>
      </c>
      <c r="C31" s="16">
        <v>0</v>
      </c>
      <c r="D31" s="19">
        <v>16</v>
      </c>
      <c r="E31" s="16">
        <v>4</v>
      </c>
      <c r="F31" s="46">
        <f t="shared" si="0"/>
        <v>20</v>
      </c>
    </row>
    <row r="32" spans="1:6">
      <c r="A32" s="30"/>
      <c r="B32" t="s">
        <v>95</v>
      </c>
      <c r="C32" s="16">
        <v>10</v>
      </c>
      <c r="D32" s="16">
        <v>10</v>
      </c>
      <c r="E32" s="16">
        <v>0</v>
      </c>
      <c r="F32" s="46">
        <f t="shared" si="0"/>
        <v>20</v>
      </c>
    </row>
    <row r="33" spans="1:6">
      <c r="A33" s="30">
        <v>15</v>
      </c>
      <c r="B33" t="s">
        <v>96</v>
      </c>
      <c r="C33" s="16">
        <f>4+8.5+1</f>
        <v>13.5</v>
      </c>
      <c r="D33" s="19">
        <v>6</v>
      </c>
      <c r="E33" s="16">
        <v>0</v>
      </c>
      <c r="F33" s="46">
        <f t="shared" si="0"/>
        <v>19.5</v>
      </c>
    </row>
    <row r="34" spans="1:6">
      <c r="A34" s="30">
        <v>16</v>
      </c>
      <c r="B34" t="s">
        <v>97</v>
      </c>
      <c r="C34" s="16">
        <v>16</v>
      </c>
      <c r="D34" s="16">
        <v>0</v>
      </c>
      <c r="E34" s="16">
        <v>0</v>
      </c>
      <c r="F34" s="46">
        <f t="shared" si="0"/>
        <v>16</v>
      </c>
    </row>
    <row r="35" spans="1:6">
      <c r="A35" s="30">
        <v>17</v>
      </c>
      <c r="B35" s="35" t="s">
        <v>98</v>
      </c>
      <c r="C35" s="36">
        <f>5.5+6</f>
        <v>11.5</v>
      </c>
      <c r="D35" s="19">
        <v>0</v>
      </c>
      <c r="E35" s="36">
        <v>0</v>
      </c>
      <c r="F35" s="46">
        <f t="shared" si="0"/>
        <v>11.5</v>
      </c>
    </row>
    <row r="36" spans="1:6">
      <c r="A36" s="30">
        <v>18</v>
      </c>
      <c r="B36" t="s">
        <v>99</v>
      </c>
      <c r="C36" s="16">
        <v>5</v>
      </c>
      <c r="D36" s="19">
        <v>0</v>
      </c>
      <c r="E36" s="16">
        <v>3</v>
      </c>
      <c r="F36" s="46">
        <f t="shared" si="0"/>
        <v>8</v>
      </c>
    </row>
    <row r="37" spans="1:6">
      <c r="A37" s="30">
        <v>19</v>
      </c>
      <c r="B37" s="35" t="s">
        <v>100</v>
      </c>
      <c r="C37" s="36">
        <f>4+3</f>
        <v>7</v>
      </c>
      <c r="D37" s="19">
        <v>0</v>
      </c>
      <c r="E37" s="36">
        <v>0</v>
      </c>
      <c r="F37" s="46">
        <f t="shared" si="0"/>
        <v>7</v>
      </c>
    </row>
    <row r="38" spans="1:6">
      <c r="A38" s="30">
        <v>20</v>
      </c>
      <c r="B38" t="s">
        <v>101</v>
      </c>
      <c r="C38" s="16">
        <v>0</v>
      </c>
      <c r="D38" s="19">
        <v>0</v>
      </c>
      <c r="E38" s="16">
        <v>0</v>
      </c>
      <c r="F38" s="46">
        <f t="shared" si="0"/>
        <v>0</v>
      </c>
    </row>
    <row r="39" spans="1:6">
      <c r="A39" s="30"/>
      <c r="B39" t="s">
        <v>102</v>
      </c>
      <c r="C39" s="16">
        <v>0</v>
      </c>
      <c r="D39" s="19">
        <v>0</v>
      </c>
      <c r="E39" s="16">
        <v>0</v>
      </c>
      <c r="F39" s="46">
        <f t="shared" si="0"/>
        <v>0</v>
      </c>
    </row>
    <row r="40" spans="1:6">
      <c r="A40" s="30"/>
      <c r="B40" t="s">
        <v>103</v>
      </c>
      <c r="C40" s="16">
        <v>0</v>
      </c>
      <c r="D40" s="19">
        <v>0</v>
      </c>
      <c r="E40" s="16">
        <v>0</v>
      </c>
      <c r="F40" s="46">
        <f t="shared" si="0"/>
        <v>0</v>
      </c>
    </row>
    <row r="41" spans="1:6">
      <c r="A41" s="30"/>
      <c r="B41" t="s">
        <v>104</v>
      </c>
      <c r="C41" s="16">
        <v>0</v>
      </c>
      <c r="D41" s="19">
        <v>0</v>
      </c>
      <c r="E41" s="16">
        <v>0</v>
      </c>
      <c r="F41" s="46">
        <f t="shared" si="0"/>
        <v>0</v>
      </c>
    </row>
    <row r="42" spans="1:6">
      <c r="A42" s="30"/>
      <c r="B42" t="s">
        <v>105</v>
      </c>
      <c r="C42" s="16">
        <v>0</v>
      </c>
      <c r="D42" s="19">
        <v>0</v>
      </c>
      <c r="E42" s="16">
        <v>0</v>
      </c>
      <c r="F42" s="46">
        <f t="shared" si="0"/>
        <v>0</v>
      </c>
    </row>
    <row r="43" spans="1:6">
      <c r="A43" s="22"/>
      <c r="B43" t="s">
        <v>106</v>
      </c>
      <c r="C43" s="16">
        <v>0</v>
      </c>
      <c r="D43" s="19">
        <v>0</v>
      </c>
      <c r="E43" s="16">
        <v>0</v>
      </c>
      <c r="F43" s="46">
        <f t="shared" si="0"/>
        <v>0</v>
      </c>
    </row>
    <row r="45" spans="1:6">
      <c r="A45" s="7" t="s">
        <v>9</v>
      </c>
      <c r="B45" s="7" t="s">
        <v>10</v>
      </c>
      <c r="C45" s="7" t="s">
        <v>81</v>
      </c>
      <c r="D45" s="7" t="s">
        <v>45</v>
      </c>
      <c r="E45" s="7" t="s">
        <v>13</v>
      </c>
      <c r="F45" s="38" t="s">
        <v>14</v>
      </c>
    </row>
    <row r="47" spans="1:6" ht="15">
      <c r="B47" s="20" t="s">
        <v>25</v>
      </c>
      <c r="F47" s="45"/>
    </row>
    <row r="49" spans="1:6">
      <c r="A49" s="40">
        <v>1</v>
      </c>
      <c r="B49" s="42" t="s">
        <v>82</v>
      </c>
      <c r="C49" s="39">
        <f>13+16+16+16+13+20+7+8.5+16+6</f>
        <v>131.5</v>
      </c>
      <c r="D49" s="39">
        <f>13+20+20</f>
        <v>53</v>
      </c>
      <c r="E49" s="39">
        <f>11.5+16+10+13+7</f>
        <v>57.5</v>
      </c>
      <c r="F49" s="34">
        <f t="shared" ref="F49:F73" si="1">SUM(C49:E49)</f>
        <v>242</v>
      </c>
    </row>
    <row r="50" spans="1:6">
      <c r="A50" s="40">
        <v>2</v>
      </c>
      <c r="B50" s="42" t="s">
        <v>87</v>
      </c>
      <c r="C50" s="39">
        <f>20+7+20+20+16+13+20+13</f>
        <v>129</v>
      </c>
      <c r="D50" s="39">
        <f>4+4</f>
        <v>8</v>
      </c>
      <c r="E50" s="39">
        <f>6.5+20+20+10+13</f>
        <v>69.5</v>
      </c>
      <c r="F50" s="34">
        <f t="shared" si="1"/>
        <v>206.5</v>
      </c>
    </row>
    <row r="51" spans="1:6">
      <c r="A51" s="40">
        <v>3</v>
      </c>
      <c r="B51" s="31" t="s">
        <v>84</v>
      </c>
      <c r="C51" s="34">
        <f>1.5+20+6+6+20+3+10</f>
        <v>66.5</v>
      </c>
      <c r="D51" s="34">
        <f>16+16</f>
        <v>32</v>
      </c>
      <c r="E51" s="34">
        <f>5+4+16+20+10</f>
        <v>55</v>
      </c>
      <c r="F51" s="34">
        <f t="shared" si="1"/>
        <v>153.5</v>
      </c>
    </row>
    <row r="52" spans="1:6">
      <c r="A52" s="49">
        <v>4</v>
      </c>
      <c r="B52" s="14" t="s">
        <v>85</v>
      </c>
      <c r="C52" s="27">
        <f>4+6+13+10+5+13+6</f>
        <v>57</v>
      </c>
      <c r="D52" s="27">
        <f>10+7</f>
        <v>17</v>
      </c>
      <c r="E52" s="27">
        <f>20+7+13+16+16</f>
        <v>72</v>
      </c>
      <c r="F52" s="34">
        <f t="shared" si="1"/>
        <v>146</v>
      </c>
    </row>
    <row r="53" spans="1:6">
      <c r="A53" s="49">
        <v>5</v>
      </c>
      <c r="B53" s="41" t="s">
        <v>86</v>
      </c>
      <c r="C53" s="27">
        <f>16+10+10+16+6.5+5.5+6+7</f>
        <v>77</v>
      </c>
      <c r="D53" s="27">
        <f>4+10+5</f>
        <v>19</v>
      </c>
      <c r="E53" s="27">
        <f>11.5+10+7+20</f>
        <v>48.5</v>
      </c>
      <c r="F53" s="34">
        <f t="shared" si="1"/>
        <v>144.5</v>
      </c>
    </row>
    <row r="54" spans="1:6">
      <c r="A54" s="49">
        <v>6</v>
      </c>
      <c r="B54" s="5" t="s">
        <v>83</v>
      </c>
      <c r="C54" s="27">
        <f>10+13+7+13+7+6.5+4+3.5+3+16</f>
        <v>83</v>
      </c>
      <c r="D54" s="27">
        <f>5+3</f>
        <v>8</v>
      </c>
      <c r="E54" s="27">
        <f>16+6+6</f>
        <v>28</v>
      </c>
      <c r="F54" s="34">
        <f t="shared" si="1"/>
        <v>119</v>
      </c>
    </row>
    <row r="55" spans="1:6">
      <c r="A55" s="49">
        <v>7</v>
      </c>
      <c r="B55" t="s">
        <v>89</v>
      </c>
      <c r="C55" s="19">
        <f>6.5+4+13+6+5</f>
        <v>34.5</v>
      </c>
      <c r="D55" s="19">
        <f>20+3</f>
        <v>23</v>
      </c>
      <c r="E55" s="19">
        <f>13+6+4.5</f>
        <v>23.5</v>
      </c>
      <c r="F55" s="34">
        <f t="shared" si="1"/>
        <v>81</v>
      </c>
    </row>
    <row r="56" spans="1:6">
      <c r="A56" s="49">
        <v>8</v>
      </c>
      <c r="B56" t="s">
        <v>92</v>
      </c>
      <c r="C56" s="19">
        <f>1.5+3+5+3</f>
        <v>12.5</v>
      </c>
      <c r="D56" s="19">
        <f>6+13</f>
        <v>19</v>
      </c>
      <c r="E56" s="19">
        <f>6.5+5+4.5+5</f>
        <v>21</v>
      </c>
      <c r="F56" s="34">
        <f t="shared" si="1"/>
        <v>52.5</v>
      </c>
    </row>
    <row r="57" spans="1:6">
      <c r="A57" s="49">
        <v>9</v>
      </c>
      <c r="B57" t="s">
        <v>90</v>
      </c>
      <c r="C57" s="19">
        <f>5+10</f>
        <v>15</v>
      </c>
      <c r="D57" s="19">
        <f>13+6</f>
        <v>19</v>
      </c>
      <c r="E57" s="19">
        <f>7+6</f>
        <v>13</v>
      </c>
      <c r="F57" s="34">
        <f t="shared" si="1"/>
        <v>47</v>
      </c>
    </row>
    <row r="58" spans="1:6">
      <c r="A58" s="49">
        <v>10</v>
      </c>
      <c r="B58" t="s">
        <v>93</v>
      </c>
      <c r="C58" s="19">
        <v>20</v>
      </c>
      <c r="D58" s="19">
        <v>16</v>
      </c>
      <c r="E58" s="19">
        <v>0</v>
      </c>
      <c r="F58" s="34">
        <f t="shared" si="1"/>
        <v>36</v>
      </c>
    </row>
    <row r="59" spans="1:6">
      <c r="A59" s="49">
        <v>11</v>
      </c>
      <c r="B59" t="s">
        <v>91</v>
      </c>
      <c r="C59" s="19">
        <f>16+13</f>
        <v>29</v>
      </c>
      <c r="D59" s="19">
        <v>0</v>
      </c>
      <c r="E59" s="19">
        <v>5</v>
      </c>
      <c r="F59" s="34">
        <f t="shared" si="1"/>
        <v>34</v>
      </c>
    </row>
    <row r="60" spans="1:6">
      <c r="A60" s="49"/>
      <c r="B60" t="s">
        <v>107</v>
      </c>
      <c r="C60" s="16">
        <f>4+7+16</f>
        <v>27</v>
      </c>
      <c r="D60" s="16">
        <v>7</v>
      </c>
      <c r="E60" s="16">
        <v>0</v>
      </c>
      <c r="F60" s="34">
        <f t="shared" si="1"/>
        <v>34</v>
      </c>
    </row>
    <row r="61" spans="1:6">
      <c r="A61" s="49">
        <v>13</v>
      </c>
      <c r="B61" s="35" t="s">
        <v>98</v>
      </c>
      <c r="C61" s="27">
        <f>2.5+20+10</f>
        <v>32.5</v>
      </c>
      <c r="D61" s="27">
        <v>0</v>
      </c>
      <c r="E61" s="27">
        <v>0</v>
      </c>
      <c r="F61" s="34">
        <f t="shared" si="1"/>
        <v>32.5</v>
      </c>
    </row>
    <row r="62" spans="1:6">
      <c r="A62" s="49">
        <v>14</v>
      </c>
      <c r="B62" s="35" t="s">
        <v>88</v>
      </c>
      <c r="C62" s="19">
        <f>6.5+4+8.5+1</f>
        <v>20</v>
      </c>
      <c r="D62" s="19">
        <v>5</v>
      </c>
      <c r="E62" s="19">
        <v>0</v>
      </c>
      <c r="F62" s="34">
        <f t="shared" si="1"/>
        <v>25</v>
      </c>
    </row>
    <row r="63" spans="1:6">
      <c r="A63" s="49">
        <v>15</v>
      </c>
      <c r="B63" t="s">
        <v>96</v>
      </c>
      <c r="C63" s="19">
        <f>2.5+5.5+3</f>
        <v>11</v>
      </c>
      <c r="D63" s="19">
        <v>7</v>
      </c>
      <c r="E63" s="19">
        <v>0</v>
      </c>
      <c r="F63" s="34">
        <f t="shared" si="1"/>
        <v>18</v>
      </c>
    </row>
    <row r="64" spans="1:6">
      <c r="A64" s="49">
        <v>16</v>
      </c>
      <c r="B64" t="s">
        <v>99</v>
      </c>
      <c r="C64" s="19">
        <f>4+10</f>
        <v>14</v>
      </c>
      <c r="D64" s="19">
        <v>0</v>
      </c>
      <c r="E64" s="19">
        <v>2</v>
      </c>
      <c r="F64" s="34">
        <f t="shared" si="1"/>
        <v>16</v>
      </c>
    </row>
    <row r="65" spans="1:6">
      <c r="A65" s="49">
        <v>17</v>
      </c>
      <c r="B65" t="s">
        <v>100</v>
      </c>
      <c r="C65" s="19">
        <f>3.5+6</f>
        <v>9.5</v>
      </c>
      <c r="D65" s="19">
        <v>6</v>
      </c>
      <c r="E65" s="19">
        <v>0</v>
      </c>
      <c r="F65" s="34">
        <f t="shared" si="1"/>
        <v>15.5</v>
      </c>
    </row>
    <row r="66" spans="1:6">
      <c r="A66" s="49">
        <v>18</v>
      </c>
      <c r="B66" t="s">
        <v>94</v>
      </c>
      <c r="C66" s="19">
        <v>0</v>
      </c>
      <c r="D66" s="19">
        <v>10</v>
      </c>
      <c r="E66" s="19">
        <v>3</v>
      </c>
      <c r="F66" s="34">
        <f t="shared" si="1"/>
        <v>13</v>
      </c>
    </row>
    <row r="67" spans="1:6">
      <c r="A67" s="49">
        <v>19</v>
      </c>
      <c r="B67" t="s">
        <v>108</v>
      </c>
      <c r="C67" s="19">
        <v>10</v>
      </c>
      <c r="D67" s="19">
        <v>0</v>
      </c>
      <c r="E67" s="19">
        <v>0</v>
      </c>
      <c r="F67" s="34">
        <f t="shared" si="1"/>
        <v>10</v>
      </c>
    </row>
    <row r="68" spans="1:6">
      <c r="A68" s="49">
        <v>20</v>
      </c>
      <c r="B68" t="s">
        <v>101</v>
      </c>
      <c r="C68" s="19">
        <v>1</v>
      </c>
      <c r="D68" s="19">
        <v>0</v>
      </c>
      <c r="E68" s="19">
        <v>0</v>
      </c>
      <c r="F68" s="34">
        <f t="shared" si="1"/>
        <v>1</v>
      </c>
    </row>
    <row r="69" spans="1:6">
      <c r="A69" s="49">
        <v>21</v>
      </c>
      <c r="B69" t="s">
        <v>102</v>
      </c>
      <c r="C69" s="19">
        <v>0</v>
      </c>
      <c r="D69" s="19">
        <v>0</v>
      </c>
      <c r="E69" s="19">
        <v>0</v>
      </c>
      <c r="F69" s="34">
        <f t="shared" si="1"/>
        <v>0</v>
      </c>
    </row>
    <row r="70" spans="1:6">
      <c r="A70" s="49"/>
      <c r="B70" t="s">
        <v>105</v>
      </c>
      <c r="C70" s="19">
        <v>0</v>
      </c>
      <c r="D70" s="19">
        <v>0</v>
      </c>
      <c r="E70" s="19">
        <v>0</v>
      </c>
      <c r="F70" s="34">
        <f t="shared" si="1"/>
        <v>0</v>
      </c>
    </row>
    <row r="71" spans="1:6">
      <c r="A71" s="49"/>
      <c r="B71" t="s">
        <v>109</v>
      </c>
      <c r="C71" s="19">
        <v>0</v>
      </c>
      <c r="D71" s="19">
        <v>0</v>
      </c>
      <c r="E71" s="19">
        <v>0</v>
      </c>
      <c r="F71" s="34">
        <f t="shared" si="1"/>
        <v>0</v>
      </c>
    </row>
    <row r="72" spans="1:6">
      <c r="A72" s="49"/>
      <c r="B72" t="s">
        <v>104</v>
      </c>
      <c r="C72" s="19">
        <v>0</v>
      </c>
      <c r="D72" s="19">
        <v>0</v>
      </c>
      <c r="E72" s="19">
        <v>0</v>
      </c>
      <c r="F72" s="34">
        <f t="shared" si="1"/>
        <v>0</v>
      </c>
    </row>
    <row r="73" spans="1:6">
      <c r="A73" s="49"/>
      <c r="B73" t="s">
        <v>106</v>
      </c>
      <c r="C73" s="19">
        <v>0</v>
      </c>
      <c r="D73" s="19">
        <v>0</v>
      </c>
      <c r="E73" s="19">
        <v>0</v>
      </c>
      <c r="F73" s="34">
        <f t="shared" si="1"/>
        <v>0</v>
      </c>
    </row>
    <row r="75" spans="1:6" ht="18">
      <c r="B75" s="2" t="s">
        <v>69</v>
      </c>
    </row>
    <row r="77" spans="1:6">
      <c r="A77" s="7" t="s">
        <v>9</v>
      </c>
      <c r="B77" s="7" t="s">
        <v>27</v>
      </c>
      <c r="C77" s="50" t="s">
        <v>110</v>
      </c>
      <c r="D77" s="7" t="s">
        <v>29</v>
      </c>
      <c r="E77" s="7" t="s">
        <v>14</v>
      </c>
    </row>
    <row r="80" spans="1:6">
      <c r="A80" s="22">
        <v>1</v>
      </c>
      <c r="B80" s="3" t="s">
        <v>82</v>
      </c>
      <c r="C80" s="34">
        <v>231</v>
      </c>
      <c r="D80" s="39">
        <v>242</v>
      </c>
      <c r="E80" s="39">
        <f t="shared" ref="E80:E104" si="2">SUM(C80:D80)</f>
        <v>473</v>
      </c>
    </row>
    <row r="81" spans="1:6">
      <c r="A81" s="22">
        <v>2</v>
      </c>
      <c r="B81" s="31" t="s">
        <v>84</v>
      </c>
      <c r="C81" s="34">
        <v>160</v>
      </c>
      <c r="D81" s="34">
        <v>153.5</v>
      </c>
      <c r="E81" s="39">
        <f t="shared" si="2"/>
        <v>313.5</v>
      </c>
    </row>
    <row r="82" spans="1:6">
      <c r="A82" s="22">
        <v>3</v>
      </c>
      <c r="B82" s="10" t="s">
        <v>87</v>
      </c>
      <c r="C82" s="34">
        <v>101.5</v>
      </c>
      <c r="D82" s="39">
        <v>206.5</v>
      </c>
      <c r="E82" s="39">
        <f t="shared" si="2"/>
        <v>308</v>
      </c>
    </row>
    <row r="83" spans="1:6">
      <c r="A83" s="30">
        <v>4</v>
      </c>
      <c r="B83" s="5" t="s">
        <v>83</v>
      </c>
      <c r="C83" s="27">
        <v>174</v>
      </c>
      <c r="D83" s="27">
        <v>119</v>
      </c>
      <c r="E83" s="39">
        <f t="shared" si="2"/>
        <v>293</v>
      </c>
      <c r="F83" s="35"/>
    </row>
    <row r="84" spans="1:6">
      <c r="A84" s="30">
        <v>5</v>
      </c>
      <c r="B84" s="14" t="s">
        <v>85</v>
      </c>
      <c r="C84" s="27">
        <v>145</v>
      </c>
      <c r="D84" s="27">
        <v>146</v>
      </c>
      <c r="E84" s="39">
        <f t="shared" si="2"/>
        <v>291</v>
      </c>
      <c r="F84" s="35"/>
    </row>
    <row r="85" spans="1:6">
      <c r="A85" s="30">
        <v>6</v>
      </c>
      <c r="B85" s="35" t="s">
        <v>86</v>
      </c>
      <c r="C85" s="27">
        <v>111.5</v>
      </c>
      <c r="D85" s="19">
        <v>144.5</v>
      </c>
      <c r="E85" s="39">
        <f t="shared" si="2"/>
        <v>256</v>
      </c>
      <c r="F85" s="35"/>
    </row>
    <row r="86" spans="1:6">
      <c r="A86" s="30">
        <v>7</v>
      </c>
      <c r="B86" s="35" t="s">
        <v>89</v>
      </c>
      <c r="C86" s="27">
        <v>65</v>
      </c>
      <c r="D86" s="19">
        <v>81</v>
      </c>
      <c r="E86" s="39">
        <f t="shared" si="2"/>
        <v>146</v>
      </c>
      <c r="F86" s="35"/>
    </row>
    <row r="87" spans="1:6">
      <c r="A87" s="30">
        <v>8</v>
      </c>
      <c r="B87" s="5" t="s">
        <v>88</v>
      </c>
      <c r="C87" s="27">
        <v>69</v>
      </c>
      <c r="D87" s="27">
        <v>25</v>
      </c>
      <c r="E87" s="39">
        <f t="shared" si="2"/>
        <v>94</v>
      </c>
      <c r="F87" s="5"/>
    </row>
    <row r="88" spans="1:6">
      <c r="A88" s="30"/>
      <c r="B88" s="35" t="s">
        <v>90</v>
      </c>
      <c r="C88" s="27">
        <v>47</v>
      </c>
      <c r="D88" s="36">
        <v>47</v>
      </c>
      <c r="E88" s="39">
        <f t="shared" si="2"/>
        <v>94</v>
      </c>
    </row>
    <row r="89" spans="1:6">
      <c r="A89" s="30">
        <v>10</v>
      </c>
      <c r="B89" s="35" t="s">
        <v>92</v>
      </c>
      <c r="C89" s="27">
        <v>37</v>
      </c>
      <c r="D89" s="19">
        <v>52.5</v>
      </c>
      <c r="E89" s="39">
        <f t="shared" si="2"/>
        <v>89.5</v>
      </c>
      <c r="F89" s="35"/>
    </row>
    <row r="90" spans="1:6">
      <c r="A90" s="30">
        <v>11</v>
      </c>
      <c r="B90" s="35" t="s">
        <v>91</v>
      </c>
      <c r="C90" s="27">
        <v>41</v>
      </c>
      <c r="D90" s="19">
        <v>34</v>
      </c>
      <c r="E90" s="39">
        <f t="shared" si="2"/>
        <v>75</v>
      </c>
      <c r="F90" s="35"/>
    </row>
    <row r="91" spans="1:6">
      <c r="A91" s="30">
        <v>12</v>
      </c>
      <c r="B91" s="35" t="s">
        <v>93</v>
      </c>
      <c r="C91" s="27">
        <v>23</v>
      </c>
      <c r="D91" s="19">
        <v>36</v>
      </c>
      <c r="E91" s="39">
        <f t="shared" si="2"/>
        <v>59</v>
      </c>
      <c r="F91" s="5"/>
    </row>
    <row r="92" spans="1:6">
      <c r="A92" s="30">
        <v>13</v>
      </c>
      <c r="B92" s="35" t="s">
        <v>107</v>
      </c>
      <c r="C92" s="27">
        <v>20</v>
      </c>
      <c r="D92" s="19">
        <v>34</v>
      </c>
      <c r="E92" s="39">
        <f t="shared" si="2"/>
        <v>54</v>
      </c>
      <c r="F92" s="35"/>
    </row>
    <row r="93" spans="1:6">
      <c r="A93" s="30">
        <v>14</v>
      </c>
      <c r="B93" s="35" t="s">
        <v>98</v>
      </c>
      <c r="C93" s="27">
        <v>11.5</v>
      </c>
      <c r="D93" s="27">
        <v>32.5</v>
      </c>
      <c r="E93" s="39">
        <f t="shared" si="2"/>
        <v>44</v>
      </c>
      <c r="F93" s="5"/>
    </row>
    <row r="94" spans="1:6">
      <c r="A94" s="30">
        <v>15</v>
      </c>
      <c r="B94" s="35" t="s">
        <v>96</v>
      </c>
      <c r="C94" s="27">
        <v>19.5</v>
      </c>
      <c r="D94" s="19">
        <v>18</v>
      </c>
      <c r="E94" s="39">
        <f t="shared" si="2"/>
        <v>37.5</v>
      </c>
      <c r="F94" s="35"/>
    </row>
    <row r="95" spans="1:6">
      <c r="A95" s="30">
        <v>16</v>
      </c>
      <c r="B95" s="35" t="s">
        <v>94</v>
      </c>
      <c r="C95" s="27">
        <v>20</v>
      </c>
      <c r="D95" s="19">
        <v>13</v>
      </c>
      <c r="E95" s="39">
        <f t="shared" si="2"/>
        <v>33</v>
      </c>
      <c r="F95" s="35"/>
    </row>
    <row r="96" spans="1:6">
      <c r="A96" s="30">
        <v>17</v>
      </c>
      <c r="B96" s="35" t="s">
        <v>108</v>
      </c>
      <c r="C96" s="27">
        <v>16</v>
      </c>
      <c r="D96" s="19">
        <v>10</v>
      </c>
      <c r="E96" s="39">
        <f t="shared" si="2"/>
        <v>26</v>
      </c>
      <c r="F96" s="35"/>
    </row>
    <row r="97" spans="1:6">
      <c r="A97" s="30">
        <v>18</v>
      </c>
      <c r="B97" s="35" t="s">
        <v>99</v>
      </c>
      <c r="C97" s="27">
        <v>8</v>
      </c>
      <c r="D97" s="19">
        <v>16</v>
      </c>
      <c r="E97" s="39">
        <f t="shared" si="2"/>
        <v>24</v>
      </c>
      <c r="F97" s="35"/>
    </row>
    <row r="98" spans="1:6">
      <c r="A98" s="30">
        <v>19</v>
      </c>
      <c r="B98" s="35" t="s">
        <v>100</v>
      </c>
      <c r="C98" s="27">
        <v>7</v>
      </c>
      <c r="D98" s="19">
        <v>15.5</v>
      </c>
      <c r="E98" s="39">
        <f t="shared" si="2"/>
        <v>22.5</v>
      </c>
      <c r="F98" s="35"/>
    </row>
    <row r="99" spans="1:6">
      <c r="A99" s="30">
        <v>20</v>
      </c>
      <c r="B99" s="35" t="s">
        <v>101</v>
      </c>
      <c r="C99" s="27">
        <v>0</v>
      </c>
      <c r="D99" s="19">
        <v>1</v>
      </c>
      <c r="E99" s="39">
        <f t="shared" si="2"/>
        <v>1</v>
      </c>
      <c r="F99" s="35"/>
    </row>
    <row r="100" spans="1:6">
      <c r="A100" s="30">
        <v>21</v>
      </c>
      <c r="B100" s="35" t="s">
        <v>111</v>
      </c>
      <c r="C100" s="27">
        <v>0</v>
      </c>
      <c r="D100" s="19">
        <v>0</v>
      </c>
      <c r="E100" s="39">
        <f t="shared" si="2"/>
        <v>0</v>
      </c>
      <c r="F100" s="35"/>
    </row>
    <row r="101" spans="1:6">
      <c r="A101" s="30">
        <v>22</v>
      </c>
      <c r="B101" s="35" t="s">
        <v>112</v>
      </c>
      <c r="C101" s="36">
        <v>0</v>
      </c>
      <c r="D101" s="36">
        <v>0</v>
      </c>
      <c r="E101" s="39">
        <f t="shared" si="2"/>
        <v>0</v>
      </c>
      <c r="F101" s="35"/>
    </row>
    <row r="102" spans="1:6">
      <c r="A102" s="30">
        <v>23</v>
      </c>
      <c r="B102" s="35" t="s">
        <v>105</v>
      </c>
      <c r="C102" s="27">
        <v>0</v>
      </c>
      <c r="D102" s="19">
        <v>0</v>
      </c>
      <c r="E102" s="39">
        <f t="shared" si="2"/>
        <v>0</v>
      </c>
    </row>
    <row r="103" spans="1:6">
      <c r="A103" s="30">
        <v>24</v>
      </c>
      <c r="B103" s="35" t="s">
        <v>104</v>
      </c>
      <c r="C103" s="27">
        <v>0</v>
      </c>
      <c r="D103" s="36">
        <v>0</v>
      </c>
      <c r="E103" s="39">
        <f t="shared" si="2"/>
        <v>0</v>
      </c>
    </row>
    <row r="104" spans="1:6">
      <c r="A104" s="30">
        <v>25</v>
      </c>
      <c r="B104" s="35" t="s">
        <v>106</v>
      </c>
      <c r="C104" s="27">
        <v>0</v>
      </c>
      <c r="D104" s="36">
        <v>0</v>
      </c>
      <c r="E104" s="39">
        <f t="shared" si="2"/>
        <v>0</v>
      </c>
      <c r="F104" s="35"/>
    </row>
    <row r="105" spans="1:6">
      <c r="B105" s="35"/>
      <c r="C105" s="35"/>
      <c r="D105" s="35"/>
      <c r="E105" s="35"/>
      <c r="F105" s="35"/>
    </row>
    <row r="106" spans="1:6">
      <c r="B106" s="14" t="s">
        <v>113</v>
      </c>
    </row>
    <row r="107" spans="1:6">
      <c r="B107" s="35"/>
      <c r="C107" s="35"/>
      <c r="D107" s="35"/>
      <c r="E107" s="35"/>
    </row>
    <row r="108" spans="1:6">
      <c r="C108" s="35"/>
      <c r="D108" s="51" t="s">
        <v>114</v>
      </c>
      <c r="E108" s="35"/>
    </row>
    <row r="109" spans="1:6">
      <c r="B109" s="35"/>
      <c r="C109" s="35"/>
      <c r="D109" s="49" t="s">
        <v>115</v>
      </c>
      <c r="E109" s="35"/>
    </row>
  </sheetData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SPG2014</vt:lpstr>
      <vt:lpstr>Gimnazja</vt:lpstr>
      <vt:lpstr>SP2013-2014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Stadion</dc:creator>
  <cp:lastModifiedBy>Media1</cp:lastModifiedBy>
  <cp:lastPrinted>2014-08-26T05:56:25Z</cp:lastPrinted>
  <dcterms:created xsi:type="dcterms:W3CDTF">2014-07-07T08:39:36Z</dcterms:created>
  <dcterms:modified xsi:type="dcterms:W3CDTF">2014-10-14T17:35:27Z</dcterms:modified>
</cp:coreProperties>
</file>